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8_{95FCB342-D305-41E1-8FC5-689B19F8DF2C}" xr6:coauthVersionLast="47" xr6:coauthVersionMax="47" xr10:uidLastSave="{00000000-0000-0000-0000-000000000000}"/>
  <bookViews>
    <workbookView xWindow="-108" yWindow="-108" windowWidth="23256" windowHeight="12576" xr2:uid="{00000000-000D-0000-FFFF-FFFF00000000}"/>
  </bookViews>
  <sheets>
    <sheet name="Cover" sheetId="1" r:id="rId1"/>
    <sheet name="Disclaimer" sheetId="2" r:id="rId2"/>
    <sheet name="Basic Information" sheetId="3" r:id="rId3"/>
    <sheet name="Discount" sheetId="4" r:id="rId4"/>
    <sheet name="Summary" sheetId="6" r:id="rId5"/>
    <sheet name="Statistics" sheetId="5" r:id="rId6"/>
    <sheet name="AllInOne" sheetId="7" r:id="rId7"/>
  </sheets>
  <definedNames>
    <definedName name="AGENTID" localSheetId="0">Cover!$B$10</definedName>
    <definedName name="bAuthPriceName" localSheetId="2">'Basic Information'!$D$18</definedName>
    <definedName name="bContractNo" localSheetId="2">'Basic Information'!$D$14</definedName>
    <definedName name="bCountry" localSheetId="2">'Basic Information'!$D$16</definedName>
    <definedName name="bCountryName" localSheetId="2">'Basic Information'!$C$16</definedName>
    <definedName name="BOQ_FLAG" localSheetId="0">Cover!$A$1</definedName>
    <definedName name="bPartnerName" localSheetId="2">'Basic Information'!$D$17</definedName>
    <definedName name="bPoNo" localSheetId="2">'Basic Information'!$D$15</definedName>
    <definedName name="bPriceBookName" localSheetId="2">'Basic Information'!$D$10</definedName>
    <definedName name="bPriceId" localSheetId="2">'Basic Information'!$D$11</definedName>
    <definedName name="bProposalNo" localSheetId="2">'Basic Information'!$D$13</definedName>
    <definedName name="bQuotationType" localSheetId="2">'Basic Information'!$D$19</definedName>
    <definedName name="bUserId" localSheetId="2">'Basic Information'!$D$12</definedName>
    <definedName name="CFGAREA" localSheetId="6">AllInOne!$C$9:$X$47</definedName>
    <definedName name="CFGAREA" localSheetId="3">Discount!$C$10:$G$10</definedName>
    <definedName name="CFGAREA" localSheetId="5">Statistics!$C$9:$L$10</definedName>
    <definedName name="CFGAREA" localSheetId="4">Summary!$C$9:$I$12</definedName>
    <definedName name="CFGAREA1" localSheetId="3">Discount!$C$20:$G$20</definedName>
    <definedName name="CFGAREA2" localSheetId="3">Discount!$C$33:$K$33</definedName>
    <definedName name="ColumnHeader" localSheetId="6">""</definedName>
    <definedName name="COMPANYNAME" localSheetId="0">Cover!$C$14</definedName>
    <definedName name="CREATE_DATE" localSheetId="0">Cover!$C$15</definedName>
    <definedName name="HasColumnHeader" localSheetId="6">"0"</definedName>
    <definedName name="L3PRODUCTCODE" localSheetId="6">""</definedName>
    <definedName name="PHUAWEIHSW1">Discount!$F$24</definedName>
    <definedName name="PHUAWEIHW1">Discount!$F$21</definedName>
    <definedName name="PHUAWEISERVICE1">Discount!$F$28</definedName>
    <definedName name="PHUAWEISW1">Discount!$F$22</definedName>
    <definedName name="PLOCALOUTSOURCING1">Discount!$F$26</definedName>
    <definedName name="PLOCALSERVICE1">Discount!$F$27</definedName>
    <definedName name="PLSSERVICE1">Discount!$F$30</definedName>
    <definedName name="POUTSOURINGHW1">Discount!$F$23</definedName>
    <definedName name="POUTSOURINGSW1">Discount!$F$25</definedName>
    <definedName name="PRICEID" localSheetId="0">Cover!$B$8</definedName>
    <definedName name="ProductDiscount" localSheetId="3">Discount!$C$33:$K$40</definedName>
    <definedName name="PROJECTCODE" localSheetId="0">Cover!$J$2</definedName>
    <definedName name="PROJECTNAME" localSheetId="0">Cover!$C$6</definedName>
    <definedName name="PVIRTUALTRADECATEGORY1">Discount!$F$29</definedName>
    <definedName name="QF_SYS_CURRENCY1">Discount!$F$11</definedName>
    <definedName name="QF_SYS_DESTINATION1">Discount!$F$17</definedName>
    <definedName name="QF_SYS_EXCHANGE1">Discount!$F$13</definedName>
    <definedName name="QF_SYS_LISTPRICECURRENCY">Discount!$F$12</definedName>
    <definedName name="QF_SYS_LK_DISCLAIMER" localSheetId="1">"."</definedName>
    <definedName name="QF_SYS_LK1_DISCLAIMER" localSheetId="1">"."</definedName>
    <definedName name="QF_SYS_LK2_DISCLAIMER" localSheetId="1">"."</definedName>
    <definedName name="QF_SYS_LK3_DISCLAIMER" localSheetId="1">"."</definedName>
    <definedName name="QF_SYS_LK4_DISCLAIMER" localSheetId="1">"."</definedName>
    <definedName name="QF_SYS_LK5_DISCLAIMER" localSheetId="1">"."</definedName>
    <definedName name="QF_SYS_LK6_DISCLAIMER" localSheetId="1">"."</definedName>
    <definedName name="QF_SYS_TRADETERMDESC1">Discount!$F$14</definedName>
    <definedName name="QF_SYS_US_DISCLAIMER" localSheetId="1">"Please refer to the http://e.huawei.com/us website for the detailed product warranty and product descriptions (such as hardware, software and services, etc.)."</definedName>
    <definedName name="QF_SYS_VALIDDATE_SERVERPRODUCT" localSheetId="1">""</definedName>
    <definedName name="QF_SYS_VALIDITY_DATE" localSheetId="1">"2025-01-24"</definedName>
    <definedName name="QUOTATIONBY" localSheetId="0">Cover!$B$7</definedName>
    <definedName name="QUOTATIONNO" localSheetId="0">Cover!$J$3</definedName>
    <definedName name="QuoteType">Discount!$F$15</definedName>
    <definedName name="SheetByID" localSheetId="6">"None"</definedName>
    <definedName name="SheetByID" localSheetId="2">"None"</definedName>
    <definedName name="SheetByID" localSheetId="0">"None"</definedName>
    <definedName name="SheetByID" localSheetId="1">"None"</definedName>
    <definedName name="SheetByID" localSheetId="3">"None"</definedName>
    <definedName name="SheetByID" localSheetId="5">"None"</definedName>
    <definedName name="SheetByID" localSheetId="4">"None"</definedName>
    <definedName name="SheetByName" localSheetId="6">"None"</definedName>
    <definedName name="SheetByName" localSheetId="2">"None"</definedName>
    <definedName name="SheetByName" localSheetId="0">"None"</definedName>
    <definedName name="SheetByName" localSheetId="1">"None"</definedName>
    <definedName name="SheetByName" localSheetId="3">"None"</definedName>
    <definedName name="SheetByName" localSheetId="5">"None"</definedName>
    <definedName name="SheetByName" localSheetId="4">"None"</definedName>
    <definedName name="SheetName" localSheetId="6">"AllInOne"</definedName>
    <definedName name="SheetName" localSheetId="2">"Basic Information"</definedName>
    <definedName name="SheetName" localSheetId="0">"Cover"</definedName>
    <definedName name="SheetName" localSheetId="1">"Disclaimer"</definedName>
    <definedName name="SheetName" localSheetId="3">"Discount"</definedName>
    <definedName name="SheetName" localSheetId="5">"Statistics"</definedName>
    <definedName name="SheetName" localSheetId="4">"Summary"</definedName>
    <definedName name="SheetType" localSheetId="6">"0"</definedName>
    <definedName name="SheetType" localSheetId="2">"100001"</definedName>
    <definedName name="SheetType" localSheetId="0">"100001"</definedName>
    <definedName name="SheetType" localSheetId="1">"100002"</definedName>
    <definedName name="SheetType" localSheetId="3">"1000012"</definedName>
    <definedName name="SheetType" localSheetId="5">"None"</definedName>
    <definedName name="SheetType" localSheetId="4">"100003"</definedName>
    <definedName name="statistics" localSheetId="5">Statistics!$C$10:$L$12</definedName>
    <definedName name="TradeCoefficient" localSheetId="3">Discount!$C$20:$G$30</definedName>
    <definedName name="TradeTerm" localSheetId="3">Discount!$C$10:$G$17</definedName>
    <definedName name="USERID" localSheetId="0">Cover!$A$4</definedName>
    <definedName name="VALID_AREA" localSheetId="2">'Basic Information'!$A$1:$E$23</definedName>
    <definedName name="VALID_AREA" localSheetId="0">Cover!$A$1:$F$16</definedName>
    <definedName name="VALID_AREA" localSheetId="1">Disclaimer!$A$1:$K$30</definedName>
    <definedName name="_xlnm.Print_Titles" localSheetId="6">AllInOne!$B:$F,AllInOne!$2:$9</definedName>
    <definedName name="_xlnm.Print_Titles" localSheetId="4">Summary!$B:$E,Summary!$2:$9</definedName>
    <definedName name="_xlnm.Print_Area" localSheetId="6">AllInOne!$C$2:$X$47</definedName>
    <definedName name="_xlnm.Print_Area" localSheetId="0">Cover!$B$2:$E$15</definedName>
    <definedName name="_xlnm.Print_Area" localSheetId="1">Disclaimer!$C$1:$C$33</definedName>
    <definedName name="_xlnm.Print_Area" localSheetId="4">Summary!$C$2:$I$12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7" l="1"/>
  <c r="H47" i="7"/>
  <c r="J47" i="7" s="1"/>
  <c r="M45" i="7"/>
  <c r="H45" i="7"/>
  <c r="J45" i="7" s="1"/>
  <c r="M43" i="7"/>
  <c r="H43" i="7"/>
  <c r="J43" i="7" s="1"/>
  <c r="M41" i="7"/>
  <c r="J41" i="7"/>
  <c r="H41" i="7"/>
  <c r="M40" i="7"/>
  <c r="H40" i="7"/>
  <c r="J40" i="7" s="1"/>
  <c r="M38" i="7"/>
  <c r="J38" i="7"/>
  <c r="H38" i="7"/>
  <c r="M35" i="7"/>
  <c r="H35" i="7"/>
  <c r="J35" i="7" s="1"/>
  <c r="M34" i="7"/>
  <c r="H34" i="7"/>
  <c r="J34" i="7" s="1"/>
  <c r="M32" i="7"/>
  <c r="H32" i="7"/>
  <c r="J32" i="7" s="1"/>
  <c r="M31" i="7"/>
  <c r="H31" i="7"/>
  <c r="J31" i="7" s="1"/>
  <c r="M28" i="7"/>
  <c r="J28" i="7"/>
  <c r="H28" i="7"/>
  <c r="M26" i="7"/>
  <c r="J26" i="7"/>
  <c r="H26" i="7"/>
  <c r="M25" i="7"/>
  <c r="H25" i="7"/>
  <c r="J25" i="7" s="1"/>
  <c r="M23" i="7"/>
  <c r="H23" i="7"/>
  <c r="J23" i="7" s="1"/>
  <c r="J21" i="7" s="1"/>
  <c r="M20" i="7"/>
  <c r="H20" i="7"/>
  <c r="H11" i="6" s="1"/>
  <c r="M18" i="7"/>
  <c r="H18" i="7"/>
  <c r="J18" i="7" s="1"/>
  <c r="M17" i="7"/>
  <c r="J17" i="7"/>
  <c r="H17" i="7"/>
  <c r="M15" i="7"/>
  <c r="J15" i="7"/>
  <c r="H15" i="7"/>
  <c r="O9" i="7"/>
  <c r="N9" i="7"/>
  <c r="J9" i="7"/>
  <c r="I9" i="7"/>
  <c r="L12" i="5"/>
  <c r="K12" i="5"/>
  <c r="J12" i="5"/>
  <c r="I12" i="5"/>
  <c r="H12" i="5"/>
  <c r="G12" i="5"/>
  <c r="F12" i="5"/>
  <c r="E12" i="5"/>
  <c r="I9" i="6"/>
  <c r="H9" i="6"/>
  <c r="G9" i="6"/>
  <c r="F9" i="6"/>
  <c r="I40" i="4"/>
  <c r="F40" i="4"/>
  <c r="K47" i="7" s="1"/>
  <c r="I39" i="4"/>
  <c r="F39" i="4"/>
  <c r="L43" i="7" s="1"/>
  <c r="I38" i="4"/>
  <c r="F38" i="4"/>
  <c r="N41" i="7" s="1"/>
  <c r="O41" i="7" s="1"/>
  <c r="I37" i="4"/>
  <c r="F37" i="4"/>
  <c r="L45" i="7" s="1"/>
  <c r="I36" i="4"/>
  <c r="F36" i="4"/>
  <c r="L34" i="7" s="1"/>
  <c r="J33" i="4"/>
  <c r="H33" i="4"/>
  <c r="F20" i="4"/>
  <c r="C13" i="4"/>
  <c r="C31" i="2"/>
  <c r="C14" i="2"/>
  <c r="C13" i="2"/>
  <c r="C12" i="2"/>
  <c r="C11" i="2"/>
  <c r="C10" i="2"/>
  <c r="C8" i="2"/>
  <c r="B5" i="1"/>
  <c r="H38" i="4" l="1"/>
  <c r="J39" i="7"/>
  <c r="H10" i="6"/>
  <c r="H12" i="6" s="1"/>
  <c r="F11" i="6"/>
  <c r="J30" i="7"/>
  <c r="J33" i="7"/>
  <c r="J29" i="7" s="1"/>
  <c r="H39" i="4"/>
  <c r="J42" i="7"/>
  <c r="J46" i="7"/>
  <c r="H40" i="4"/>
  <c r="H37" i="4"/>
  <c r="J44" i="7"/>
  <c r="J36" i="7"/>
  <c r="K15" i="7"/>
  <c r="L17" i="7"/>
  <c r="J20" i="7"/>
  <c r="J13" i="7" s="1"/>
  <c r="N20" i="7"/>
  <c r="O20" i="7" s="1"/>
  <c r="N25" i="7"/>
  <c r="O25" i="7" s="1"/>
  <c r="K26" i="7"/>
  <c r="L28" i="7"/>
  <c r="N32" i="7"/>
  <c r="O32" i="7" s="1"/>
  <c r="N35" i="7"/>
  <c r="O35" i="7" s="1"/>
  <c r="J37" i="7"/>
  <c r="K38" i="7"/>
  <c r="N40" i="7"/>
  <c r="O40" i="7" s="1"/>
  <c r="O39" i="7" s="1"/>
  <c r="K41" i="7"/>
  <c r="N43" i="7"/>
  <c r="O43" i="7" s="1"/>
  <c r="L47" i="7"/>
  <c r="L15" i="7"/>
  <c r="N18" i="7"/>
  <c r="O18" i="7" s="1"/>
  <c r="K20" i="7"/>
  <c r="N23" i="7"/>
  <c r="O23" i="7" s="1"/>
  <c r="K25" i="7"/>
  <c r="L26" i="7"/>
  <c r="N31" i="7"/>
  <c r="O31" i="7" s="1"/>
  <c r="K32" i="7"/>
  <c r="N34" i="7"/>
  <c r="O34" i="7" s="1"/>
  <c r="O33" i="7" s="1"/>
  <c r="K35" i="7"/>
  <c r="L38" i="7"/>
  <c r="K40" i="7"/>
  <c r="L41" i="7"/>
  <c r="K43" i="7"/>
  <c r="N45" i="7"/>
  <c r="O45" i="7" s="1"/>
  <c r="N17" i="7"/>
  <c r="O17" i="7" s="1"/>
  <c r="K18" i="7"/>
  <c r="L20" i="7"/>
  <c r="K23" i="7"/>
  <c r="L25" i="7"/>
  <c r="N28" i="7"/>
  <c r="O28" i="7" s="1"/>
  <c r="K31" i="7"/>
  <c r="L32" i="7"/>
  <c r="K34" i="7"/>
  <c r="L35" i="7"/>
  <c r="L40" i="7"/>
  <c r="K45" i="7"/>
  <c r="N47" i="7"/>
  <c r="O47" i="7" s="1"/>
  <c r="N15" i="7"/>
  <c r="K17" i="7"/>
  <c r="L18" i="7"/>
  <c r="L23" i="7"/>
  <c r="N26" i="7"/>
  <c r="O26" i="7" s="1"/>
  <c r="K28" i="7"/>
  <c r="L31" i="7"/>
  <c r="N38" i="7"/>
  <c r="O38" i="7" s="1"/>
  <c r="I11" i="6" l="1"/>
  <c r="O15" i="7"/>
  <c r="O37" i="7"/>
  <c r="J38" i="4"/>
  <c r="H36" i="4"/>
  <c r="O44" i="7"/>
  <c r="J37" i="4"/>
  <c r="O30" i="7"/>
  <c r="O29" i="7"/>
  <c r="O42" i="7"/>
  <c r="O36" i="7" s="1"/>
  <c r="J39" i="4"/>
  <c r="J12" i="7"/>
  <c r="J11" i="7" s="1"/>
  <c r="I11" i="7" s="1"/>
  <c r="J40" i="4"/>
  <c r="O46" i="7"/>
  <c r="O21" i="7"/>
  <c r="H34" i="4" l="1"/>
  <c r="H35" i="4"/>
  <c r="O12" i="7"/>
  <c r="O11" i="7" s="1"/>
  <c r="N11" i="7" s="1"/>
  <c r="O13" i="7"/>
  <c r="J36" i="4"/>
  <c r="I10" i="6"/>
  <c r="I12" i="6" s="1"/>
  <c r="G11" i="6"/>
  <c r="J34" i="4" l="1"/>
  <c r="J35" i="4"/>
</calcChain>
</file>

<file path=xl/sharedStrings.xml><?xml version="1.0" encoding="utf-8"?>
<sst xmlns="http://schemas.openxmlformats.org/spreadsheetml/2006/main" count="442" uniqueCount="291">
  <si>
    <t>Trade Item</t>
  </si>
  <si>
    <t>Value</t>
  </si>
  <si>
    <t>Currency</t>
  </si>
  <si>
    <t>List Price Currency</t>
  </si>
  <si>
    <t>Trade Term</t>
  </si>
  <si>
    <t>Quote Type</t>
  </si>
  <si>
    <t>Shipping Port/Destination</t>
  </si>
  <si>
    <t>USD</t>
  </si>
  <si>
    <t>FOB</t>
  </si>
  <si>
    <t>Embedded</t>
  </si>
  <si>
    <t>Hong Kong SAR China-HONGKONG-HONGKONG_CHINA</t>
  </si>
  <si>
    <t>HONGKONG_Hong Kong SAR China</t>
  </si>
  <si>
    <t>Trade Coefficient</t>
  </si>
  <si>
    <t>Huawei Hardware</t>
  </si>
  <si>
    <t>Huawei Software</t>
  </si>
  <si>
    <t>Outsourcing Hardware</t>
  </si>
  <si>
    <t>Huawei Hardware License</t>
  </si>
  <si>
    <t>Outsourcing Software</t>
  </si>
  <si>
    <t>Local Outsourcing</t>
  </si>
  <si>
    <t>Local subcontracting and Service</t>
  </si>
  <si>
    <t>Huawei Service</t>
  </si>
  <si>
    <t>Virtual Trade Category</t>
  </si>
  <si>
    <t>Training Service</t>
  </si>
  <si>
    <t>No.</t>
  </si>
  <si>
    <t>Product Name</t>
  </si>
  <si>
    <t>Discount(On)</t>
  </si>
  <si>
    <t>Discount(Off)</t>
  </si>
  <si>
    <t>TOTAL PRICE</t>
  </si>
  <si>
    <t>OceanStor 5510 (6)</t>
  </si>
  <si>
    <t>Primary Device</t>
  </si>
  <si>
    <t>Software</t>
  </si>
  <si>
    <t>Outsourcing</t>
  </si>
  <si>
    <t>Optical Module</t>
  </si>
  <si>
    <t>Technical Support Service(IT Software) - Hi-care</t>
  </si>
  <si>
    <t>Site</t>
  </si>
  <si>
    <t>Config Name</t>
  </si>
  <si>
    <t>Volume</t>
  </si>
  <si>
    <t>Net Volume 
(m^3)</t>
  </si>
  <si>
    <t>Pack Volume 
(m^3)</t>
  </si>
  <si>
    <t>Weight</t>
  </si>
  <si>
    <t>Net Weight 
(kg)</t>
  </si>
  <si>
    <t>Pack Weight 
(kg)</t>
  </si>
  <si>
    <t>Power Consumption</t>
  </si>
  <si>
    <t>Max Power Consumption 
(W)</t>
  </si>
  <si>
    <t>Max Power Consumption at a Normal Temperature 
(W)</t>
  </si>
  <si>
    <t>Typical Power Consumption 
(W)</t>
  </si>
  <si>
    <t>Min Power Consumption 
(W)</t>
  </si>
  <si>
    <t>Site1</t>
  </si>
  <si>
    <t>OceanStor 5510</t>
  </si>
  <si>
    <t>Total</t>
  </si>
  <si>
    <t>Qty.</t>
  </si>
  <si>
    <t>Part Number</t>
  </si>
  <si>
    <t>Model</t>
  </si>
  <si>
    <t>Description</t>
  </si>
  <si>
    <t>Unit Qty.</t>
  </si>
  <si>
    <t>Discount Category</t>
  </si>
  <si>
    <t>EOM</t>
  </si>
  <si>
    <t>EOS</t>
  </si>
  <si>
    <t>Pack Weight
(kg)</t>
  </si>
  <si>
    <t>Pack Volume
(m^3)</t>
  </si>
  <si>
    <t>Pack Dimension
(D*W*H mm)</t>
  </si>
  <si>
    <t>Net Dimension
(D*W*H mm)</t>
  </si>
  <si>
    <t>Typical DC Power
(W)</t>
  </si>
  <si>
    <t>Production LT
(Days)</t>
  </si>
  <si>
    <t/>
  </si>
  <si>
    <t>OceanStor 5510 6_Site1</t>
  </si>
  <si>
    <t>OceanStor 5510 Main Equipment</t>
  </si>
  <si>
    <t>Controller Unit 1</t>
  </si>
  <si>
    <t>Controller Enclosure</t>
  </si>
  <si>
    <t>02354SEP</t>
  </si>
  <si>
    <t>Expanding Interface Module</t>
  </si>
  <si>
    <t>03050GXS</t>
  </si>
  <si>
    <t>03050GXU</t>
  </si>
  <si>
    <t>Disk Components</t>
  </si>
  <si>
    <t>02356FPG</t>
  </si>
  <si>
    <t>Controller Unit 2</t>
  </si>
  <si>
    <t>HD Components</t>
  </si>
  <si>
    <t>Controller Unit 1 HD Components</t>
  </si>
  <si>
    <t>02356ATG</t>
  </si>
  <si>
    <t>02351CRU</t>
  </si>
  <si>
    <t>Controller Unit 2 HD Components</t>
  </si>
  <si>
    <t>Storage Accessories Package</t>
  </si>
  <si>
    <t>Optical Fiber</t>
  </si>
  <si>
    <t>14130858</t>
  </si>
  <si>
    <t>PANGEA V6 SAS Cable</t>
  </si>
  <si>
    <t>04052252</t>
  </si>
  <si>
    <t>04052254</t>
  </si>
  <si>
    <t>IP-Cable</t>
  </si>
  <si>
    <t>02314TQR</t>
  </si>
  <si>
    <t>System Software</t>
  </si>
  <si>
    <t>88037JMQ</t>
  </si>
  <si>
    <t>Technical Support Service</t>
  </si>
  <si>
    <t>88134UHK-1MY</t>
  </si>
  <si>
    <t>55V6-512GS25DACC+</t>
  </si>
  <si>
    <t>DV6-SMARTIO4*25E-ML</t>
  </si>
  <si>
    <t>Scale-25RDMA-M</t>
  </si>
  <si>
    <t>L3-S-SSD7680</t>
  </si>
  <si>
    <t>L3-L-NLSAS20TH</t>
  </si>
  <si>
    <t>STLZ59DME-75</t>
  </si>
  <si>
    <t>SN2F01FCPC</t>
  </si>
  <si>
    <t>HS-SAS-3-02</t>
  </si>
  <si>
    <t>HS-SAS-5-02</t>
  </si>
  <si>
    <t>SFP28-SFP28-25</t>
  </si>
  <si>
    <t>L551V6SANADV</t>
  </si>
  <si>
    <t>88037JMQ_88134UHK-1MY_36</t>
  </si>
  <si>
    <t>5510 (2U,Dual Ctrl,SAS,AC\240V HVDC,512GB Cache,4*(4*12Gb) SAS,25*2.5",SPE53C0225)</t>
  </si>
  <si>
    <t>4 ports SmartIO I/O module(SFP28,25Gb ETH)</t>
  </si>
  <si>
    <t>4 ports 25Gb RDMA I/O module(SFP28,Scale-out)</t>
  </si>
  <si>
    <t>7.68TB SSD SAS Disk Unit(2.5")</t>
  </si>
  <si>
    <t>20TB 7.2K RPM NL-SAS Disk Unit(3.5"),for High Density Disk Enclosure</t>
  </si>
  <si>
    <t>DAE17535U4 High Density Disk Enclosure(4U,3.5",AC,Dual SAS Expansion Module,1200W,75 Disks,without disk,12G baseboard)</t>
  </si>
  <si>
    <t>Patch Cord,DLC/PC,DLC/PC,Multi-mode,3m,A1a.2,2mm,42mm DLC,OM3 bending insensitive</t>
  </si>
  <si>
    <t>High Speed Cable,48G Mini SAS HD Cable,3m,SFF 8644 Plug,28AWG*4P*2B(S),SFF 8644 Plug,indoor,SAS 3.0,LSZH,EEPROM</t>
  </si>
  <si>
    <t>High Speed Cable,48G Mini SAS HD Cable,5m,SFF 8644 Plug,26AWG*4P*2B(S),SFF 8644 Plug,Indoor,SAS 3.0,EEPROM</t>
  </si>
  <si>
    <t>Optical Cable Parts,SFP28 to SFP28,25G,850nm,0.01km,With Two Optical Transceiver</t>
  </si>
  <si>
    <t>SAN Advanced License(Including Acceleration,Thin,Migration,Snap,Replication,Clone,QoS,Erase,DME IQ,UltraPath,Virtualization,Metro,CDP,Multi-Tenant)</t>
  </si>
  <si>
    <t>SAN Advanced License(Including Acceleration,Thin,Migration,Snap,Replication,Clone,QoS,Erase,DME IQ,UltraPath,Virtualization,Metro,CDP,Multi-Tenant)_Hi-Care Application Software Upgrade Support Service OceanStor 5510 SAN Advanced License_36Month(s)</t>
  </si>
  <si>
    <t>2028/12/31</t>
  </si>
  <si>
    <t>2026/12/31</t>
  </si>
  <si>
    <t>2027/06/30</t>
  </si>
  <si>
    <t>2024/12/31</t>
  </si>
  <si>
    <t>6666/12/31</t>
  </si>
  <si>
    <t>2025/06/30</t>
  </si>
  <si>
    <t>2031/12/31</t>
  </si>
  <si>
    <t>2032/06/30</t>
  </si>
  <si>
    <t>2030/06/30</t>
  </si>
  <si>
    <t>8888/12/31</t>
  </si>
  <si>
    <t>2030/12/30</t>
  </si>
  <si>
    <t>1180*600*360</t>
  </si>
  <si>
    <t>345*185*90</t>
  </si>
  <si>
    <t>1060*670*685</t>
  </si>
  <si>
    <t>120*120*20</t>
  </si>
  <si>
    <t>20*275*215</t>
  </si>
  <si>
    <t>340*250*90</t>
  </si>
  <si>
    <t>820.0*447.0*86.1</t>
  </si>
  <si>
    <t>177.0*78.5*18.5</t>
  </si>
  <si>
    <t>128.0*74.0*16.0</t>
  </si>
  <si>
    <t>163.5*108.5*26.0</t>
  </si>
  <si>
    <t>790.0*446.0*176.5</t>
  </si>
  <si>
    <t>0.0*0.0*0.0</t>
  </si>
  <si>
    <t>320.0*240.0*35.0</t>
  </si>
  <si>
    <t>14</t>
  </si>
  <si>
    <t>21</t>
  </si>
  <si>
    <t>GPL+disc</t>
  </si>
  <si>
    <t>0000Pdenisshtin202410240002</t>
  </si>
  <si>
    <t>Kazakhstan Rep Office</t>
  </si>
  <si>
    <t>2024-10-24</t>
  </si>
  <si>
    <t>QUOTATION DISCLAIMER</t>
  </si>
  <si>
    <t>1-By receiving this offer the Channel Partner/Customer expressly accepts and agrees on the following:</t>
  </si>
  <si>
    <t>At the end of this period, Huawei reserves the right to vary this offer and/or any term included it, including but not limited to update the prices and/or costs at its sole discretion.</t>
  </si>
  <si>
    <t>2-The price in this offer only covers the specific items (such as hardware, software and service, etc.) in the BOQ list, parts in the optional list are not included.</t>
  </si>
  <si>
    <t>3-The prices of storage battery shall only be applied to this contract.</t>
  </si>
  <si>
    <t>Please refer to the L3 table for the detail version information.</t>
  </si>
  <si>
    <t>Huawei shall be entitled to select another supplier if the nominated supplier is no longer qualified or in default of its performance.</t>
  </si>
  <si>
    <t>Extra charge shall be paid for exceeded length of cables based on actual site information.</t>
  </si>
  <si>
    <t>Important:The total price of Trunk Cable,Optical Fiber,Ethernet Cable,Jumper Cable,Power Cable,Installation Materials,Auxiliary,Feeders are firmed and shall remain unchanged regardless quantities and required items used on actual.</t>
  </si>
  <si>
    <t>Statement on Embedded Software License ：Huawei application package might include Embedded Software License (abbreviated as “ESL”, means a third-party software that must be bundled or integrated with application software or equipment of Huawei, of which limited license is granted by owner to users for designated purpose other than anyone else. Maintenance and Upgrade can not be executed independently or separately). ESL can only be used through Huawei's application package and (1) shall not be installed, configured, upgraded, or modified directly; (2) nor be accessed directly, but solely through Huawei’s application package. Huawei may only access the ESL directly for purposes of providing technical assistance.</t>
  </si>
  <si>
    <t>Product Lifecycle： Huawei's product lifecycle regulation is subject to the “Product End of Life Policy”, Purchaser/ Channel Partner/Customer can find the “Product End of Life Policy” in URL address of Huawei official website:</t>
  </si>
  <si>
    <t>Notwithstanding any other provisions in the Contract, the delivery, warranty, maintenance service of any Third-party product shall be only provided according to the Third-party original manufacturers’ and/or vendors’ terms and conditions. For the Third-party products marked with“with software”, if Customer intends to obtain the services related to source code, such as fulfilling software feature requirements, resolving software quality issues, fixing/mitigating vulnerabilities, etc. and maintenance service after warranty period, Customer shall enter the relevant agreements with the Third-party original manufacturers and/or vendors directly. Huawei will assist the Customer to sign such agreements with the Third-party original manufacturers and/or vendors.</t>
  </si>
  <si>
    <t>Project Basic Information</t>
  </si>
  <si>
    <t>Parameter Name</t>
  </si>
  <si>
    <t>Parameter Value</t>
  </si>
  <si>
    <t>Quotation Name</t>
  </si>
  <si>
    <t>Quotation No.</t>
  </si>
  <si>
    <t>Customer Name</t>
  </si>
  <si>
    <t>Proposal No.</t>
  </si>
  <si>
    <t>Contract No.</t>
  </si>
  <si>
    <t>PO No.</t>
  </si>
  <si>
    <t>Local Office</t>
  </si>
  <si>
    <t>Partner Name</t>
  </si>
  <si>
    <t>Authorized Price</t>
  </si>
  <si>
    <t>Quotation Type</t>
  </si>
  <si>
    <t>COL_SORTNO.0</t>
  </si>
  <si>
    <t>COL_DESCRIPTION.0</t>
  </si>
  <si>
    <t>COL_VALUE.0</t>
  </si>
  <si>
    <t>COL_DISCOUNTOFFVALUE.0</t>
  </si>
  <si>
    <t>COL_TOTAL_LIST_PRICE.0</t>
  </si>
  <si>
    <t>COL_TRADECOEFFICIENT.0</t>
  </si>
  <si>
    <t>COL_TOTAL_PRICE1.0</t>
  </si>
  <si>
    <t>QF_SYS_CURRENCY.0,null</t>
  </si>
  <si>
    <t>QF_SYS_LISTPRICECURRENCY.0,null</t>
  </si>
  <si>
    <t>QF_SYS_EXCHANGE.0,null</t>
  </si>
  <si>
    <t>QF_SYS_TRADETERMDESC.0,null</t>
  </si>
  <si>
    <t>QuoteType.0,null</t>
  </si>
  <si>
    <t>QF_SYS_DESTINATION.0,null</t>
  </si>
  <si>
    <t>QF_SYS_CITYCOUNTRY.0,null</t>
  </si>
  <si>
    <t>PHUAWEIHW.0,null</t>
  </si>
  <si>
    <t>PHUAWEISW.0,null</t>
  </si>
  <si>
    <t>POUTSOURINGHW.0,null</t>
  </si>
  <si>
    <t>PHUAWEIHSW.0,null</t>
  </si>
  <si>
    <t>POUTSOURINGSW.0,null</t>
  </si>
  <si>
    <t>PLOCALOUTSOURCING.0,null</t>
  </si>
  <si>
    <t>PLOCALSERVICE.0,null</t>
  </si>
  <si>
    <t>PHUAWEISERVICE.0,null</t>
  </si>
  <si>
    <t>PVIRTUALTRADECATEGORY.0,null</t>
  </si>
  <si>
    <t>PLSSERVICE.0,null</t>
  </si>
  <si>
    <t>Product Discount</t>
  </si>
  <si>
    <t>totalprice.1,</t>
  </si>
  <si>
    <t>1</t>
  </si>
  <si>
    <t>totalprice.1,,productid.142139117,mainequipment.142139117,</t>
  </si>
  <si>
    <t>1.1</t>
  </si>
  <si>
    <t>totalprice.1,,productid.142139117,mainequipment.142139117,productid.142139117,discountcategoryid.740,isquoteleaf.1</t>
  </si>
  <si>
    <t>totalprice.1,,productid.142139117,mainequipment.142139117,productid.142139117,discountcategoryid.57,isquoteleaf.1</t>
  </si>
  <si>
    <t>totalprice.1,,productid.142139117,mainequipment.142139117,productid.142139117,discountcategoryid.14,isquoteleaf.1</t>
  </si>
  <si>
    <t>totalprice.1,,productid.142139117,mainequipment.142139117,productid.142139117,discountcategoryid.382,isquoteleaf.1</t>
  </si>
  <si>
    <t>totalprice.1,,productid.142139117,mainequipment.142139117,productid.142139117,discountcategoryid.10729,isquoteleaf.1</t>
  </si>
  <si>
    <t>COL_ADD.0</t>
  </si>
  <si>
    <t>COL_LIST_PRICE.0</t>
  </si>
  <si>
    <t>COL_UNIT_PRICE1.0</t>
  </si>
  <si>
    <t>totalprice.0,locationid.366835132,</t>
  </si>
  <si>
    <t>totalprice.0,locationid.366835132,productcfgid.511560108,productid.142139117,subnetid.null,cfgmodeltypeid.5,producttypeid.0,isquoteleaf.1</t>
  </si>
  <si>
    <t>totalprice.0,</t>
  </si>
  <si>
    <t>COL_MODELID.0</t>
  </si>
  <si>
    <t>COL_MODELNAME.0</t>
  </si>
  <si>
    <t>TOTAL_NET_VOLUME.0</t>
  </si>
  <si>
    <t>TOTAL_PACK_VOLUME.0</t>
  </si>
  <si>
    <t>TOTAL_NET_WEG.0</t>
  </si>
  <si>
    <t>TOTAL_PACK_WEG.0</t>
  </si>
  <si>
    <t>TOTAL_VM_POW.0</t>
  </si>
  <si>
    <t>TOTAL_VTAST7618.0</t>
  </si>
  <si>
    <t>TOTAL_VT_POW.0</t>
  </si>
  <si>
    <t>TOTAL_VMI_POW.0</t>
  </si>
  <si>
    <t>Volume/Weight: The volume and weight parameters of a single product are only for your reference and cannot be used for freight calculation. To calculate freight, submit for volume estimation.</t>
  </si>
  <si>
    <t>totalstatistics.1,productcfgid.511560108,locationid366835132,</t>
  </si>
  <si>
    <t>totalstatistics.1,</t>
  </si>
  <si>
    <t>These Statistics contain the number of the configs.</t>
  </si>
  <si>
    <t>COL_SALECODE.0</t>
  </si>
  <si>
    <t>COL_MODEL.0</t>
  </si>
  <si>
    <t>COL_UNIT_QTY.0</t>
  </si>
  <si>
    <t>COL_DISCOUNTDESCVALUE.0</t>
  </si>
  <si>
    <t>COL_DISCOUNTOFFDESCVALUE.0</t>
  </si>
  <si>
    <t>COL_DISCOUNTDESC.0</t>
  </si>
  <si>
    <t>COL_EOM.0</t>
  </si>
  <si>
    <t>COL_EOS.0</t>
  </si>
  <si>
    <t>COL_WEIGHT.0</t>
  </si>
  <si>
    <t>COL_PACKVOLUME.0</t>
  </si>
  <si>
    <t>COL_VOLUME.0</t>
  </si>
  <si>
    <t>COL_NETDIMENSION.0</t>
  </si>
  <si>
    <t>COL_POWER.0</t>
  </si>
  <si>
    <t>COL_LEADTIME.0</t>
  </si>
  <si>
    <t>COL_BETAREMARK.0</t>
  </si>
  <si>
    <t>sitecfgid.511560108_366835132,productcfgid.511560108,cfgmodeltypeid.5,productid.142139117,locationid.366835132,</t>
  </si>
  <si>
    <t>sitecfgid.511560108_366835132,productcfgid.511560108,cfgmodeltypeid.5,productid.142139117,locationid.366835132,productid.142139117,subnetid.null,equipExtId.2</t>
  </si>
  <si>
    <t>sitecfgid.511560108_366835132,productcfgid.511560108,cfgmodeltypeid.5,productid.142139117,locationid.366835132,productid.142139117,subnetid.null,sbomid2.59575742,fathersbomid.0,null</t>
  </si>
  <si>
    <t>sitecfgid.511560108_366835132,productcfgid.511560108,cfgmodeltypeid.5,productid.142139117,locationid.366835132,productid.142139117,subnetid.null,sbomid3.59575749,fathersbomid.59575742,null</t>
  </si>
  <si>
    <t>1.1.1</t>
  </si>
  <si>
    <t>sitecfgid.511560108_366835132,productcfgid.511560108,cfgmodeltypeid.5,productid.142139117,locationid.366835132,productid.142139117,subnetid.null,sbomid4.59576512,fathersbomid.59575749,null</t>
  </si>
  <si>
    <t>sitecfgid.511560108_366835132,productcfgid.511560108,cfgmodeltypeid.5,productid.142139117,locationid.366835132,productid.142139117,subnetid.null,sbomid5.59576421,fathersbomid.59576512,uniqueId.471000.0,productid.142139117,producttypeid.0,partnumber.02354SEP,erpid.1100114769,discountcategoryid.740,multidiscountcategoryid.740_4710000,desc.-132957469,isquoteleaf.1,isquoteitem.1</t>
  </si>
  <si>
    <t>sitecfgid.511560108_366835132,productcfgid.511560108,cfgmodeltypeid.5,productid.142139117,locationid.366835132,productid.142139117,subnetid.null,sbomid4.59742305,fathersbomid.59575749,null</t>
  </si>
  <si>
    <t>sitecfgid.511560108_366835132,productcfgid.511560108,cfgmodeltypeid.5,productid.142139117,locationid.366835132,productid.142139117,subnetid.null,sbomid5.59742321,fathersbomid.59742305,uniqueId.31286.96,productid.142139117,producttypeid.0,partnumber.03050GXS,erpid.1100225516,discountcategoryid.740,multidiscountcategoryid.740_31286960000000003,desc.-495953457,isquoteleaf.1,isquoteitem.1</t>
  </si>
  <si>
    <t>sitecfgid.511560108_366835132,productcfgid.511560108,cfgmodeltypeid.5,productid.142139117,locationid.366835132,productid.142139117,subnetid.null,sbomid5.59742323,fathersbomid.59742305,uniqueId.7912.8,productid.142139117,producttypeid.0,partnumber.03050GXU,erpid.1100225518,discountcategoryid.740,multidiscountcategoryid.740_79128,desc.-69369722,isquoteleaf.1,isquoteitem.1</t>
  </si>
  <si>
    <t>sitecfgid.511560108_366835132,productcfgid.511560108,cfgmodeltypeid.5,productid.142139117,locationid.366835132,productid.142139117,subnetid.null,sbomid4.59576515,fathersbomid.59575749,null</t>
  </si>
  <si>
    <t>sitecfgid.511560108_366835132,productcfgid.511560108,cfgmodeltypeid.5,productid.142139117,locationid.366835132,productid.142139117,subnetid.null,sbomid5.59742724,fathersbomid.59576515,uniqueId.59879.8,productid.142139117,producttypeid.0,partnumber.02356FPG,erpid.1100438871,discountcategoryid.740,multidiscountcategoryid.740_598798,desc.-664935823,isquoteleaf.1,isquoteitem.1</t>
  </si>
  <si>
    <t>sitecfgid.511560108_366835132,productcfgid.511560108,cfgmodeltypeid.5,productid.142139117,locationid.366835132,productid.142139117,subnetid.null,sbomid3.59575750,fathersbomid.59575742,null</t>
  </si>
  <si>
    <t>1.1.2</t>
  </si>
  <si>
    <t>sitecfgid.511560108_366835132,productcfgid.511560108,cfgmodeltypeid.5,productid.142139117,locationid.366835132,productid.142139117,subnetid.null,sbomid4.59576522,fathersbomid.59575750,null</t>
  </si>
  <si>
    <t>sitecfgid.511560108_366835132,productcfgid.511560108,cfgmodeltypeid.5,productid.142139117,locationid.366835132,productid.142139117,subnetid.null,sbomid5.59576422,fathersbomid.59576522,uniqueId.471000.0,productid.142139117,producttypeid.0,partnumber.02354SEP,erpid.1100114769,discountcategoryid.740,multidiscountcategoryid.740_4710000,desc.-132957469,isquoteleaf.1,isquoteitem.1</t>
  </si>
  <si>
    <t>sitecfgid.511560108_366835132,productcfgid.511560108,cfgmodeltypeid.5,productid.142139117,locationid.366835132,productid.142139117,subnetid.null,sbomid4.59742307,fathersbomid.59575750,null</t>
  </si>
  <si>
    <t>sitecfgid.511560108_366835132,productcfgid.511560108,cfgmodeltypeid.5,productid.142139117,locationid.366835132,productid.142139117,subnetid.null,sbomid5.59742337,fathersbomid.59742307,uniqueId.31286.96,productid.142139117,producttypeid.0,partnumber.03050GXS,erpid.1100225516,discountcategoryid.740,multidiscountcategoryid.740_31286960000000003,desc.-495953457,isquoteleaf.1,isquoteitem.1</t>
  </si>
  <si>
    <t>sitecfgid.511560108_366835132,productcfgid.511560108,cfgmodeltypeid.5,productid.142139117,locationid.366835132,productid.142139117,subnetid.null,sbomid5.59742339,fathersbomid.59742307,uniqueId.7912.8,productid.142139117,producttypeid.0,partnumber.03050GXU,erpid.1100225518,discountcategoryid.740,multidiscountcategoryid.740_79128,desc.-69369722,isquoteleaf.1,isquoteitem.1</t>
  </si>
  <si>
    <t>sitecfgid.511560108_366835132,productcfgid.511560108,cfgmodeltypeid.5,productid.142139117,locationid.366835132,productid.142139117,subnetid.null,sbomid4.59576525,fathersbomid.59575750,null</t>
  </si>
  <si>
    <t>sitecfgid.511560108_366835132,productcfgid.511560108,cfgmodeltypeid.5,productid.142139117,locationid.366835132,productid.142139117,subnetid.null,sbomid5.59742737,fathersbomid.59576525,uniqueId.59879.8,productid.142139117,producttypeid.0,partnumber.02356FPG,erpid.1100438871,discountcategoryid.740,multidiscountcategoryid.740_598798,desc.-664935823,isquoteleaf.1,isquoteitem.1</t>
  </si>
  <si>
    <t>sitecfgid.511560108_366835132,productcfgid.511560108,cfgmodeltypeid.5,productid.142139117,locationid.366835132,productid.142139117,subnetid.null,sbomid2.59575743,fathersbomid.0,null</t>
  </si>
  <si>
    <t>1.2</t>
  </si>
  <si>
    <t>sitecfgid.511560108_366835132,productcfgid.511560108,cfgmodeltypeid.5,productid.142139117,locationid.366835132,productid.142139117,subnetid.null,sbomid3.59576363,fathersbomid.59575743,null</t>
  </si>
  <si>
    <t>1.2.1</t>
  </si>
  <si>
    <t>sitecfgid.511560108_366835132,productcfgid.511560108,cfgmodeltypeid.5,productid.142139117,locationid.366835132,productid.142139117,subnetid.null,sbomid4.59742506,fathersbomid.59576363,uniqueId.26690.0,productid.142139117,producttypeid.0,partnumber.02356ATG,erpid.1100392275,discountcategoryid.740,multidiscountcategoryid.740_266900,desc.-1006483877,isquoteleaf.1,isquoteitem.1</t>
  </si>
  <si>
    <t>sitecfgid.511560108_366835132,productcfgid.511560108,cfgmodeltypeid.5,productid.142139117,locationid.366835132,productid.142139117,subnetid.null,sbomid4.59576370,fathersbomid.59576363,uniqueId.67130.06,productid.142139117,producttypeid.0,partnumber.02351CRU,erpid.1000325663,discountcategoryid.740,multidiscountcategoryid.740_6713006,desc.-1185072537,isquoteleaf.1,isquoteitem.1</t>
  </si>
  <si>
    <t>sitecfgid.511560108_366835132,productcfgid.511560108,cfgmodeltypeid.5,productid.142139117,locationid.366835132,productid.142139117,subnetid.null,sbomid3.59576364,fathersbomid.59575743,null</t>
  </si>
  <si>
    <t>1.2.2</t>
  </si>
  <si>
    <t>sitecfgid.511560108_366835132,productcfgid.511560108,cfgmodeltypeid.5,productid.142139117,locationid.366835132,productid.142139117,subnetid.null,sbomid4.59742509,fathersbomid.59576364,uniqueId.26690.0,productid.142139117,producttypeid.0,partnumber.02356ATG,erpid.1100392275,discountcategoryid.740,multidiscountcategoryid.740_266900,desc.-1006483877,isquoteleaf.1,isquoteitem.1</t>
  </si>
  <si>
    <t>sitecfgid.511560108_366835132,productcfgid.511560108,cfgmodeltypeid.5,productid.142139117,locationid.366835132,productid.142139117,subnetid.null,sbomid4.59576375,fathersbomid.59576364,uniqueId.67130.06,productid.142139117,producttypeid.0,partnumber.02351CRU,erpid.1000325663,discountcategoryid.740,multidiscountcategoryid.740_6713006,desc.-1185072537,isquoteleaf.1,isquoteitem.1</t>
  </si>
  <si>
    <t>sitecfgid.511560108_366835132,productcfgid.511560108,cfgmodeltypeid.5,productid.142139117,locationid.366835132,productid.142139117,subnetid.null,sbomid2.59575745,fathersbomid.0,null</t>
  </si>
  <si>
    <t>1.3</t>
  </si>
  <si>
    <t>sitecfgid.511560108_366835132,productcfgid.511560108,cfgmodeltypeid.5,productid.142139117,locationid.366835132,productid.142139117,subnetid.null,sbomid3.59576288,fathersbomid.59575745,null</t>
  </si>
  <si>
    <t>1.3.1</t>
  </si>
  <si>
    <t>sitecfgid.511560108_366835132,productcfgid.511560108,cfgmodeltypeid.5,productid.142139117,locationid.366835132,productid.142139117,subnetid.null,sbomid4.59575861,fathersbomid.59576288,uniqueId.34.54,productid.142139117,producttypeid.0,partnumber.14130858,erpid.32492302,discountcategoryid.14,multidiscountcategoryid.14_3454,desc.-605730400,isquoteleaf.1,isquoteitem.1</t>
  </si>
  <si>
    <t>sitecfgid.511560108_366835132,productcfgid.511560108,cfgmodeltypeid.5,productid.142139117,locationid.366835132,productid.142139117,subnetid.null,sbomid3.59576289,fathersbomid.59575745,null</t>
  </si>
  <si>
    <t>1.3.2</t>
  </si>
  <si>
    <t>sitecfgid.511560108_366835132,productcfgid.511560108,cfgmodeltypeid.5,productid.142139117,locationid.366835132,productid.142139117,subnetid.null,sbomid4.59576296,fathersbomid.59576289,uniqueId.141.3,productid.142139117,producttypeid.0,partnumber.04052252,erpid.1001473828,discountcategoryid.14,multidiscountcategoryid.14_1413,desc.-2002163385,isquoteleaf.1,isquoteitem.1</t>
  </si>
  <si>
    <t>sitecfgid.511560108_366835132,productcfgid.511560108,cfgmodeltypeid.5,productid.142139117,locationid.366835132,productid.142139117,subnetid.null,sbomid4.59576297,fathersbomid.59576289,uniqueId.452.16,productid.142139117,producttypeid.0,partnumber.04052254,erpid.1001473829,discountcategoryid.14,multidiscountcategoryid.14_45216,desc.-2040747522,isquoteleaf.1,isquoteitem.1</t>
  </si>
  <si>
    <t>sitecfgid.511560108_366835132,productcfgid.511560108,cfgmodeltypeid.5,productid.142139117,locationid.366835132,productid.142139117,subnetid.null,sbomid3.59576290,fathersbomid.59575745,null</t>
  </si>
  <si>
    <t>1.3.3</t>
  </si>
  <si>
    <t>sitecfgid.511560108_366835132,productcfgid.511560108,cfgmodeltypeid.5,productid.142139117,locationid.366835132,productid.142139117,subnetid.null,sbomid4.59742499,fathersbomid.59576290,uniqueId.5630.02,productid.142139117,producttypeid.0,partnumber.02314TQR,erpid.1100391400,discountcategoryid.382,multidiscountcategoryid.382_563002,desc.-1314764765,isquoteleaf.1,isquoteitem.1</t>
  </si>
  <si>
    <t>sitecfgid.511560108_366835132,productcfgid.511560108,cfgmodeltypeid.5,productid.142139117,locationid.366835132,productid.142139117,subnetid.null,sbomid2.59575746,fathersbomid.0,null</t>
  </si>
  <si>
    <t>1.4</t>
  </si>
  <si>
    <t>sitecfgid.511560108_366835132,productcfgid.511560108,cfgmodeltypeid.5,productid.142139117,locationid.366835132,productid.142139117,subnetid.null,sbomid3.59576904,fathersbomid.59575746,uniqueId.168932.0,productid.142139117,producttypeid.0,partnumber.88037JMQ,erpid.1100114790,discountcategoryid.57,multidiscountcategoryid.57_1689320,desc.-1535683974,isquoteleaf.1,isquoteitem.1</t>
  </si>
  <si>
    <t>sitecfgid.511560108_366835132,productcfgid.511560108,cfgmodeltypeid.5,productid.142139117,locationid.366835132,productid.142139117,subnetid.null,sbomid2.-1026618433,fathersbomid.0,null</t>
  </si>
  <si>
    <t>1.5</t>
  </si>
  <si>
    <t>sitecfgid.511560108_366835132,productcfgid.511560108,cfgmodeltypeid.5,productid.142139117,locationid.366835132,productid.142139117,subnetid.null,sbomid3.-1796515154,fathersbomid.-1026618433,uniqueId.35475.72,productid.142139117,producttypeid.0,partnumber.88134UHK-1MY,erpid.1100136935,discountcategoryid.10729,multidiscountcategoryid.10729_3547572,desc.-1854789509,isquoteleaf.1,isquoteitem.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</si>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</sst>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mm\-yy"/>
    <numFmt numFmtId="165" formatCode="m/d/yy"/>
    <numFmt numFmtId="166" formatCode="0.000000_);[Red]\(0.000000\)"/>
    <numFmt numFmtId="167" formatCode="0.00######%"/>
    <numFmt numFmtId="168" formatCode="#,##0.000000;[Red]\-#,##0.000000"/>
    <numFmt numFmtId="169" formatCode="###0.000;[Red]\-###0.000"/>
    <numFmt numFmtId="170" formatCode="###0.00;[Red]\-###0.00"/>
    <numFmt numFmtId="171" formatCode="0_ ;[Red]\-0\ "/>
    <numFmt numFmtId="172" formatCode="#,##0.00_);[Red]\(#,##0.00\)"/>
  </numFmts>
  <fonts count="16">
    <font>
      <sz val="10"/>
      <name val="Arial"/>
      <family val="2"/>
    </font>
    <font>
      <sz val="8"/>
      <name val="Arial"/>
      <family val="2"/>
    </font>
    <font>
      <sz val="12"/>
      <name val="Arial"/>
      <family val="2"/>
    </font>
    <font>
      <b/>
      <sz val="26"/>
      <name val="Arial"/>
      <family val="2"/>
    </font>
    <font>
      <b/>
      <sz val="20"/>
      <name val="Arial"/>
      <family val="2"/>
    </font>
    <font>
      <b/>
      <sz val="22"/>
      <name val="Arial"/>
      <family val="2"/>
    </font>
    <font>
      <b/>
      <sz val="16"/>
      <name val="Arial"/>
      <family val="2"/>
    </font>
    <font>
      <sz val="16"/>
      <name val="Arial"/>
      <family val="2"/>
    </font>
    <font>
      <b/>
      <sz val="14"/>
      <name val="Arial"/>
      <family val="2"/>
    </font>
    <font>
      <sz val="12"/>
      <name val="Arial Black"/>
      <family val="2"/>
    </font>
    <font>
      <sz val="10"/>
      <color indexed="12"/>
      <name val="Arial"/>
      <family val="2"/>
    </font>
    <font>
      <sz val="9"/>
      <name val="Arial"/>
      <family val="2"/>
    </font>
    <font>
      <b/>
      <sz val="9"/>
      <name val="Arial"/>
      <family val="2"/>
    </font>
    <font>
      <b/>
      <sz val="10"/>
      <name val="Arial"/>
      <family val="2"/>
    </font>
    <font>
      <sz val="9"/>
      <color indexed="0"/>
      <name val="Arial"/>
      <family val="2"/>
    </font>
    <font>
      <sz val="1"/>
      <name val="null"/>
      <family val="2"/>
    </font>
  </fonts>
  <fills count="9">
    <fill>
      <patternFill patternType="none"/>
    </fill>
    <fill>
      <patternFill patternType="gray125"/>
    </fill>
    <fill>
      <patternFill patternType="solid">
        <fgColor indexed="23"/>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43"/>
        <bgColor indexed="64"/>
      </patternFill>
    </fill>
  </fills>
  <borders count="1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s>
  <cellStyleXfs count="1">
    <xf numFmtId="0" fontId="0" fillId="0" borderId="0"/>
  </cellStyleXfs>
  <cellXfs count="146">
    <xf numFmtId="0" fontId="0" fillId="0" borderId="0" xfId="0"/>
    <xf numFmtId="0" fontId="1" fillId="0" borderId="0" xfId="0" applyFont="1" applyAlignment="1" applyProtection="1">
      <alignment vertical="center"/>
      <protection locked="0"/>
    </xf>
    <xf numFmtId="49" fontId="2" fillId="0" borderId="0" xfId="0" applyNumberFormat="1" applyFont="1" applyProtection="1">
      <protection locked="0"/>
    </xf>
    <xf numFmtId="0" fontId="2" fillId="2" borderId="0" xfId="0" applyFont="1" applyFill="1" applyProtection="1">
      <protection locked="0"/>
    </xf>
    <xf numFmtId="0" fontId="4" fillId="0" borderId="0" xfId="0" applyFont="1" applyAlignment="1" applyProtection="1">
      <alignment horizontal="centerContinuous" vertical="center"/>
      <protection locked="0"/>
    </xf>
    <xf numFmtId="49" fontId="6" fillId="0" borderId="0" xfId="0" applyNumberFormat="1" applyFont="1" applyAlignment="1" applyProtection="1">
      <alignment horizontal="centerContinuous" vertical="center"/>
      <protection locked="0"/>
    </xf>
    <xf numFmtId="0" fontId="7" fillId="0" borderId="0" xfId="0" applyFont="1" applyAlignment="1" applyProtection="1">
      <alignment horizontal="centerContinuous" vertical="center"/>
      <protection locked="0"/>
    </xf>
    <xf numFmtId="0" fontId="8" fillId="2" borderId="0" xfId="0" applyFont="1" applyFill="1" applyProtection="1">
      <protection locked="0"/>
    </xf>
    <xf numFmtId="164" fontId="6" fillId="0" borderId="0" xfId="0" applyNumberFormat="1" applyFont="1" applyAlignment="1" applyProtection="1">
      <alignment horizontal="right" vertical="center"/>
      <protection locked="0"/>
    </xf>
    <xf numFmtId="165" fontId="6" fillId="0" borderId="0" xfId="0" applyNumberFormat="1" applyFont="1" applyAlignment="1" applyProtection="1">
      <alignment horizontal="left" vertical="center"/>
      <protection locked="0"/>
    </xf>
    <xf numFmtId="165" fontId="2" fillId="0" borderId="0" xfId="0" applyNumberFormat="1" applyFont="1" applyAlignment="1" applyProtection="1">
      <alignment horizontal="centerContinuous" vertical="center"/>
      <protection locked="0"/>
    </xf>
    <xf numFmtId="49" fontId="0" fillId="0" borderId="0" xfId="0" applyNumberFormat="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10" fillId="0" borderId="0" xfId="0" applyFont="1" applyAlignment="1" applyProtection="1">
      <alignment vertical="center" wrapText="1"/>
      <protection locked="0"/>
    </xf>
    <xf numFmtId="0" fontId="11" fillId="0" borderId="0" xfId="0" applyFont="1" applyProtection="1">
      <protection locked="0"/>
    </xf>
    <xf numFmtId="0" fontId="11" fillId="0" borderId="0" xfId="0" applyFont="1" applyAlignment="1" applyProtection="1">
      <alignment vertical="center"/>
      <protection locked="0"/>
    </xf>
    <xf numFmtId="0" fontId="11" fillId="0" borderId="0" xfId="0" applyFont="1" applyAlignment="1" applyProtection="1">
      <alignment horizontal="centerContinuous" vertical="center"/>
      <protection locked="0"/>
    </xf>
    <xf numFmtId="0" fontId="11" fillId="0" borderId="0" xfId="0" applyFont="1" applyAlignment="1" applyProtection="1">
      <alignment horizontal="right" vertical="center"/>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centerContinuous" vertical="center"/>
      <protection locked="0"/>
    </xf>
    <xf numFmtId="49" fontId="12" fillId="0" borderId="0" xfId="0" applyNumberFormat="1" applyFont="1" applyAlignment="1" applyProtection="1">
      <alignment horizontal="centerContinuous" vertical="center"/>
      <protection locked="0"/>
    </xf>
    <xf numFmtId="0" fontId="12" fillId="0" borderId="2" xfId="0" applyFont="1" applyBorder="1" applyAlignment="1" applyProtection="1">
      <alignment vertical="center"/>
      <protection locked="0"/>
    </xf>
    <xf numFmtId="0" fontId="11" fillId="0" borderId="2" xfId="0" applyFont="1" applyBorder="1" applyAlignment="1" applyProtection="1">
      <alignment vertical="center"/>
      <protection locked="0"/>
    </xf>
    <xf numFmtId="2" fontId="13" fillId="3" borderId="3" xfId="0" applyNumberFormat="1" applyFont="1" applyFill="1" applyBorder="1" applyAlignment="1" applyProtection="1">
      <alignment horizontal="center" vertical="center" wrapText="1"/>
      <protection locked="0"/>
    </xf>
    <xf numFmtId="0" fontId="11" fillId="4" borderId="3" xfId="0" applyFont="1" applyFill="1" applyBorder="1" applyAlignment="1" applyProtection="1">
      <alignment vertical="center"/>
      <protection locked="0"/>
    </xf>
    <xf numFmtId="0" fontId="11" fillId="5" borderId="3" xfId="0" applyFont="1" applyFill="1" applyBorder="1" applyAlignment="1" applyProtection="1">
      <alignment horizontal="left" vertical="center" wrapText="1"/>
      <protection locked="0"/>
    </xf>
    <xf numFmtId="0" fontId="12" fillId="0" borderId="0" xfId="0" applyFont="1" applyProtection="1">
      <protection locked="0"/>
    </xf>
    <xf numFmtId="0" fontId="13" fillId="3" borderId="4" xfId="0" applyFont="1" applyFill="1" applyBorder="1" applyAlignment="1" applyProtection="1">
      <alignment horizontal="center" vertical="center" wrapText="1"/>
      <protection locked="0"/>
    </xf>
    <xf numFmtId="0" fontId="0" fillId="0" borderId="1" xfId="0" applyBorder="1" applyProtection="1">
      <protection locked="0"/>
    </xf>
    <xf numFmtId="0" fontId="13" fillId="7" borderId="4" xfId="0" applyFont="1" applyFill="1" applyBorder="1" applyAlignment="1" applyProtection="1">
      <alignment horizontal="center" vertical="center" wrapText="1"/>
      <protection locked="0"/>
    </xf>
    <xf numFmtId="49" fontId="12" fillId="0" borderId="5"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12" fillId="0" borderId="9"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10" fontId="12" fillId="0" borderId="9" xfId="0" applyNumberFormat="1" applyFont="1" applyBorder="1" applyAlignment="1" applyProtection="1">
      <alignment vertical="center"/>
      <protection locked="0"/>
    </xf>
    <xf numFmtId="10" fontId="11" fillId="0" borderId="9" xfId="0" applyNumberFormat="1" applyFont="1" applyBorder="1" applyAlignment="1" applyProtection="1">
      <alignment vertical="center"/>
      <protection locked="0"/>
    </xf>
    <xf numFmtId="167" fontId="11" fillId="6" borderId="9" xfId="0" applyNumberFormat="1" applyFont="1" applyFill="1" applyBorder="1" applyAlignment="1" applyProtection="1">
      <alignment vertical="center"/>
      <protection locked="0"/>
    </xf>
    <xf numFmtId="40" fontId="12" fillId="0" borderId="9" xfId="0" applyNumberFormat="1" applyFont="1" applyBorder="1" applyAlignment="1" applyProtection="1">
      <alignment vertical="center" shrinkToFit="1"/>
      <protection locked="0"/>
    </xf>
    <xf numFmtId="40" fontId="11" fillId="0" borderId="9" xfId="0" applyNumberFormat="1" applyFont="1" applyBorder="1" applyAlignment="1" applyProtection="1">
      <alignment vertical="center" shrinkToFit="1"/>
      <protection locked="0"/>
    </xf>
    <xf numFmtId="168" fontId="12" fillId="0" borderId="9" xfId="0" applyNumberFormat="1" applyFont="1" applyBorder="1" applyAlignment="1" applyProtection="1">
      <alignment vertical="center" shrinkToFit="1"/>
      <protection locked="0"/>
    </xf>
    <xf numFmtId="168" fontId="11" fillId="0" borderId="9" xfId="0" applyNumberFormat="1" applyFont="1" applyBorder="1" applyAlignment="1" applyProtection="1">
      <alignment vertical="center" shrinkToFit="1"/>
      <protection locked="0"/>
    </xf>
    <xf numFmtId="40" fontId="11" fillId="0" borderId="6" xfId="0" applyNumberFormat="1" applyFont="1" applyBorder="1" applyAlignment="1" applyProtection="1">
      <alignment vertical="center" shrinkToFit="1"/>
      <protection locked="0"/>
    </xf>
    <xf numFmtId="49" fontId="11" fillId="0" borderId="7" xfId="0" applyNumberFormat="1" applyFont="1" applyBorder="1" applyAlignment="1" applyProtection="1">
      <alignment horizontal="left" vertical="center"/>
      <protection locked="0"/>
    </xf>
    <xf numFmtId="0" fontId="11" fillId="0" borderId="10" xfId="0" applyFont="1" applyBorder="1" applyAlignment="1" applyProtection="1">
      <alignment vertical="center" wrapText="1"/>
      <protection locked="0"/>
    </xf>
    <xf numFmtId="10" fontId="11" fillId="0" borderId="10" xfId="0" applyNumberFormat="1" applyFont="1" applyBorder="1" applyAlignment="1" applyProtection="1">
      <alignment vertical="center"/>
      <protection locked="0"/>
    </xf>
    <xf numFmtId="167" fontId="11" fillId="6" borderId="10" xfId="0" applyNumberFormat="1" applyFont="1" applyFill="1" applyBorder="1" applyAlignment="1" applyProtection="1">
      <alignment vertical="center"/>
      <protection locked="0"/>
    </xf>
    <xf numFmtId="40" fontId="11" fillId="0" borderId="10" xfId="0" applyNumberFormat="1" applyFont="1" applyBorder="1" applyAlignment="1" applyProtection="1">
      <alignment vertical="center" shrinkToFit="1"/>
      <protection locked="0"/>
    </xf>
    <xf numFmtId="168" fontId="11" fillId="0" borderId="10" xfId="0" applyNumberFormat="1" applyFont="1" applyBorder="1" applyAlignment="1" applyProtection="1">
      <alignment vertical="center" shrinkToFit="1"/>
      <protection locked="0"/>
    </xf>
    <xf numFmtId="0" fontId="12" fillId="3" borderId="4" xfId="0" applyFont="1" applyFill="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169" fontId="11" fillId="0" borderId="9" xfId="0" applyNumberFormat="1" applyFont="1" applyBorder="1" applyAlignment="1" applyProtection="1">
      <alignment horizontal="right" vertical="center" shrinkToFit="1"/>
      <protection locked="0"/>
    </xf>
    <xf numFmtId="170" fontId="11" fillId="0" borderId="9" xfId="0" applyNumberFormat="1" applyFont="1" applyBorder="1" applyAlignment="1" applyProtection="1">
      <alignment horizontal="right" vertical="center" shrinkToFit="1"/>
      <protection locked="0"/>
    </xf>
    <xf numFmtId="170" fontId="11" fillId="0" borderId="6" xfId="0" applyNumberFormat="1" applyFont="1" applyBorder="1" applyAlignment="1" applyProtection="1">
      <alignment horizontal="right" vertical="center" shrinkToFit="1"/>
      <protection locked="0"/>
    </xf>
    <xf numFmtId="0" fontId="12" fillId="3" borderId="7"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center" wrapText="1"/>
      <protection locked="0"/>
    </xf>
    <xf numFmtId="169" fontId="12" fillId="3" borderId="10" xfId="0" applyNumberFormat="1" applyFont="1" applyFill="1" applyBorder="1" applyAlignment="1" applyProtection="1">
      <alignment horizontal="right" vertical="center" shrinkToFit="1"/>
      <protection locked="0"/>
    </xf>
    <xf numFmtId="170" fontId="12" fillId="3" borderId="10" xfId="0" applyNumberFormat="1" applyFont="1" applyFill="1" applyBorder="1" applyAlignment="1" applyProtection="1">
      <alignment horizontal="right" vertical="center" shrinkToFit="1"/>
      <protection locked="0"/>
    </xf>
    <xf numFmtId="170" fontId="12" fillId="3" borderId="8" xfId="0" applyNumberFormat="1" applyFont="1" applyFill="1" applyBorder="1" applyAlignment="1" applyProtection="1">
      <alignment horizontal="right" vertical="center" shrinkToFit="1"/>
      <protection locked="0"/>
    </xf>
    <xf numFmtId="49" fontId="12" fillId="8" borderId="5" xfId="0" applyNumberFormat="1" applyFont="1" applyFill="1" applyBorder="1" applyAlignment="1" applyProtection="1">
      <alignment horizontal="left" vertical="center"/>
      <protection locked="0"/>
    </xf>
    <xf numFmtId="49" fontId="12" fillId="3" borderId="5" xfId="0" applyNumberFormat="1" applyFont="1" applyFill="1" applyBorder="1" applyAlignment="1" applyProtection="1">
      <alignment horizontal="left" vertical="center"/>
      <protection locked="0"/>
    </xf>
    <xf numFmtId="0" fontId="12" fillId="8" borderId="9" xfId="0" applyFont="1" applyFill="1" applyBorder="1" applyAlignment="1" applyProtection="1">
      <alignment horizontal="left" vertical="center" wrapText="1"/>
      <protection locked="0"/>
    </xf>
    <xf numFmtId="0" fontId="12" fillId="8"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40" fontId="12" fillId="8" borderId="9" xfId="0" applyNumberFormat="1" applyFont="1" applyFill="1" applyBorder="1" applyAlignment="1" applyProtection="1">
      <alignment vertical="center" shrinkToFit="1"/>
      <protection locked="0"/>
    </xf>
    <xf numFmtId="40" fontId="12" fillId="3" borderId="9" xfId="0" applyNumberFormat="1" applyFont="1" applyFill="1" applyBorder="1" applyAlignment="1" applyProtection="1">
      <alignment vertical="center" shrinkToFit="1"/>
      <protection locked="0"/>
    </xf>
    <xf numFmtId="40" fontId="12" fillId="8" borderId="6" xfId="0" applyNumberFormat="1" applyFont="1" applyFill="1" applyBorder="1" applyAlignment="1" applyProtection="1">
      <alignment vertical="center" shrinkToFit="1"/>
      <protection locked="0"/>
    </xf>
    <xf numFmtId="49" fontId="12" fillId="3" borderId="7" xfId="0" applyNumberFormat="1" applyFont="1" applyFill="1" applyBorder="1" applyAlignment="1" applyProtection="1">
      <alignment horizontal="left" vertical="center"/>
      <protection locked="0"/>
    </xf>
    <xf numFmtId="0" fontId="12" fillId="3" borderId="10" xfId="0" applyFont="1" applyFill="1" applyBorder="1" applyAlignment="1" applyProtection="1">
      <alignment horizontal="center" vertical="center" wrapText="1"/>
      <protection locked="0"/>
    </xf>
    <xf numFmtId="40" fontId="12" fillId="3" borderId="10" xfId="0" applyNumberFormat="1" applyFont="1" applyFill="1" applyBorder="1" applyAlignment="1" applyProtection="1">
      <alignment vertical="center" shrinkToFit="1"/>
      <protection locked="0"/>
    </xf>
    <xf numFmtId="40" fontId="12" fillId="3" borderId="8" xfId="0" applyNumberFormat="1" applyFont="1" applyFill="1" applyBorder="1" applyAlignment="1" applyProtection="1">
      <alignment vertical="center" shrinkToFit="1"/>
      <protection locked="0"/>
    </xf>
    <xf numFmtId="0" fontId="11" fillId="0" borderId="0" xfId="0" applyFont="1" applyAlignment="1" applyProtection="1">
      <alignment horizontal="center" vertical="center" wrapText="1"/>
      <protection locked="0"/>
    </xf>
    <xf numFmtId="49" fontId="11" fillId="0" borderId="9" xfId="0" applyNumberFormat="1" applyFont="1" applyBorder="1" applyAlignment="1" applyProtection="1">
      <alignment horizontal="left" vertical="center"/>
      <protection locked="0"/>
    </xf>
    <xf numFmtId="0" fontId="12" fillId="0" borderId="9" xfId="0" applyFont="1" applyBorder="1" applyAlignment="1" applyProtection="1">
      <alignment horizontal="center" vertical="center" wrapText="1"/>
      <protection locked="0"/>
    </xf>
    <xf numFmtId="171" fontId="12" fillId="0" borderId="9" xfId="0" applyNumberFormat="1" applyFont="1" applyBorder="1" applyAlignment="1" applyProtection="1">
      <alignment horizontal="center" vertical="center"/>
      <protection locked="0"/>
    </xf>
    <xf numFmtId="171" fontId="12" fillId="3" borderId="9" xfId="0" applyNumberFormat="1" applyFont="1" applyFill="1" applyBorder="1" applyAlignment="1" applyProtection="1">
      <alignment horizontal="center" vertical="center"/>
      <protection locked="0"/>
    </xf>
    <xf numFmtId="171" fontId="12" fillId="8" borderId="9" xfId="0" applyNumberFormat="1" applyFont="1" applyFill="1" applyBorder="1" applyAlignment="1" applyProtection="1">
      <alignment horizontal="center" vertical="center"/>
      <protection locked="0"/>
    </xf>
    <xf numFmtId="171" fontId="11" fillId="0" borderId="9" xfId="0" applyNumberFormat="1" applyFont="1" applyBorder="1" applyAlignment="1" applyProtection="1">
      <alignment horizontal="center" vertical="center"/>
      <protection locked="0"/>
    </xf>
    <xf numFmtId="167" fontId="12" fillId="0" borderId="9" xfId="0" applyNumberFormat="1" applyFont="1" applyBorder="1" applyAlignment="1" applyProtection="1">
      <alignment vertical="center" shrinkToFit="1"/>
      <protection locked="0"/>
    </xf>
    <xf numFmtId="167" fontId="12" fillId="3" borderId="9" xfId="0" applyNumberFormat="1" applyFont="1" applyFill="1" applyBorder="1" applyAlignment="1" applyProtection="1">
      <alignment vertical="center" shrinkToFit="1"/>
      <protection locked="0"/>
    </xf>
    <xf numFmtId="167" fontId="12" fillId="8" borderId="9" xfId="0" applyNumberFormat="1" applyFont="1" applyFill="1" applyBorder="1" applyAlignment="1" applyProtection="1">
      <alignment vertical="center" shrinkToFit="1"/>
      <protection locked="0"/>
    </xf>
    <xf numFmtId="167" fontId="11" fillId="0" borderId="9" xfId="0" applyNumberFormat="1" applyFont="1" applyBorder="1" applyAlignment="1" applyProtection="1">
      <alignment vertical="center" shrinkToFit="1"/>
      <protection locked="0"/>
    </xf>
    <xf numFmtId="168" fontId="12" fillId="3" borderId="9" xfId="0" applyNumberFormat="1" applyFont="1" applyFill="1" applyBorder="1" applyAlignment="1" applyProtection="1">
      <alignment vertical="center" shrinkToFit="1"/>
      <protection locked="0"/>
    </xf>
    <xf numFmtId="168" fontId="12" fillId="8" borderId="9" xfId="0" applyNumberFormat="1" applyFont="1" applyFill="1" applyBorder="1" applyAlignment="1" applyProtection="1">
      <alignment vertical="center" shrinkToFit="1"/>
      <protection locked="0"/>
    </xf>
    <xf numFmtId="172" fontId="12" fillId="0" borderId="9" xfId="0" applyNumberFormat="1" applyFont="1" applyBorder="1" applyAlignment="1" applyProtection="1">
      <alignment horizontal="left" vertical="center" wrapText="1"/>
      <protection locked="0"/>
    </xf>
    <xf numFmtId="172" fontId="12" fillId="3" borderId="9" xfId="0" applyNumberFormat="1" applyFont="1" applyFill="1" applyBorder="1" applyAlignment="1" applyProtection="1">
      <alignment horizontal="left" vertical="center" wrapText="1"/>
      <protection locked="0"/>
    </xf>
    <xf numFmtId="172" fontId="12" fillId="8" borderId="9" xfId="0" applyNumberFormat="1" applyFont="1" applyFill="1" applyBorder="1" applyAlignment="1" applyProtection="1">
      <alignment horizontal="left" vertical="center" wrapText="1"/>
      <protection locked="0"/>
    </xf>
    <xf numFmtId="172" fontId="11" fillId="0" borderId="9" xfId="0" applyNumberFormat="1" applyFont="1" applyBorder="1" applyAlignment="1" applyProtection="1">
      <alignment horizontal="left" vertical="center" wrapText="1"/>
      <protection locked="0"/>
    </xf>
    <xf numFmtId="49" fontId="12" fillId="0" borderId="9" xfId="0" applyNumberFormat="1" applyFont="1" applyBorder="1" applyAlignment="1" applyProtection="1">
      <alignment horizontal="left" vertical="center" wrapText="1"/>
      <protection locked="0"/>
    </xf>
    <xf numFmtId="49" fontId="12" fillId="3" borderId="9" xfId="0" applyNumberFormat="1" applyFont="1" applyFill="1" applyBorder="1" applyAlignment="1" applyProtection="1">
      <alignment horizontal="left" vertical="center" wrapText="1"/>
      <protection locked="0"/>
    </xf>
    <xf numFmtId="49" fontId="12" fillId="8" borderId="9" xfId="0" applyNumberFormat="1" applyFont="1" applyFill="1" applyBorder="1" applyAlignment="1" applyProtection="1">
      <alignment horizontal="left" vertical="center" wrapText="1"/>
      <protection locked="0"/>
    </xf>
    <xf numFmtId="49" fontId="11" fillId="0" borderId="9" xfId="0" applyNumberFormat="1" applyFont="1" applyBorder="1" applyAlignment="1" applyProtection="1">
      <alignment horizontal="left" vertical="center" wrapText="1"/>
      <protection locked="0"/>
    </xf>
    <xf numFmtId="0" fontId="12" fillId="0" borderId="9" xfId="0" applyFont="1" applyBorder="1" applyAlignment="1" applyProtection="1">
      <alignment horizontal="right" vertical="center"/>
      <protection locked="0"/>
    </xf>
    <xf numFmtId="0" fontId="12" fillId="3" borderId="9" xfId="0" applyFont="1" applyFill="1" applyBorder="1" applyAlignment="1" applyProtection="1">
      <alignment horizontal="right" vertical="center"/>
      <protection locked="0"/>
    </xf>
    <xf numFmtId="0" fontId="12" fillId="8" borderId="9" xfId="0" applyFont="1" applyFill="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172" fontId="12" fillId="0" borderId="9" xfId="0" applyNumberFormat="1" applyFont="1" applyBorder="1" applyAlignment="1" applyProtection="1">
      <alignment horizontal="right" vertical="center" wrapText="1"/>
      <protection locked="0"/>
    </xf>
    <xf numFmtId="172" fontId="12" fillId="3" borderId="9" xfId="0" applyNumberFormat="1" applyFont="1" applyFill="1" applyBorder="1" applyAlignment="1" applyProtection="1">
      <alignment horizontal="right" vertical="center" wrapText="1"/>
      <protection locked="0"/>
    </xf>
    <xf numFmtId="172" fontId="12" fillId="8" borderId="9" xfId="0" applyNumberFormat="1" applyFont="1" applyFill="1" applyBorder="1" applyAlignment="1" applyProtection="1">
      <alignment horizontal="right" vertical="center" wrapText="1"/>
      <protection locked="0"/>
    </xf>
    <xf numFmtId="172" fontId="11" fillId="0" borderId="9" xfId="0" applyNumberFormat="1" applyFont="1" applyBorder="1" applyAlignment="1" applyProtection="1">
      <alignment horizontal="right" vertical="center" wrapText="1"/>
      <protection locked="0"/>
    </xf>
    <xf numFmtId="0" fontId="12" fillId="0" borderId="9" xfId="0" applyFont="1" applyBorder="1" applyAlignment="1" applyProtection="1">
      <alignment horizontal="right" vertical="center" wrapText="1"/>
      <protection locked="0"/>
    </xf>
    <xf numFmtId="0" fontId="12" fillId="3" borderId="9" xfId="0" applyFont="1" applyFill="1" applyBorder="1" applyAlignment="1" applyProtection="1">
      <alignment horizontal="right" vertical="center" wrapText="1"/>
      <protection locked="0"/>
    </xf>
    <xf numFmtId="0" fontId="12" fillId="8" borderId="9" xfId="0" applyFont="1" applyFill="1" applyBorder="1" applyAlignment="1" applyProtection="1">
      <alignment horizontal="right" vertical="center" wrapText="1"/>
      <protection locked="0"/>
    </xf>
    <xf numFmtId="0" fontId="11" fillId="0" borderId="9" xfId="0" applyFont="1" applyBorder="1" applyAlignment="1" applyProtection="1">
      <alignment horizontal="right" vertical="center" wrapText="1"/>
      <protection locked="0"/>
    </xf>
    <xf numFmtId="0" fontId="12" fillId="0" borderId="6" xfId="0" applyFont="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8" borderId="6"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5" fillId="0" borderId="0" xfId="0" applyFont="1" applyAlignment="1" applyProtection="1">
      <alignment vertical="center"/>
      <protection locked="0"/>
    </xf>
    <xf numFmtId="49" fontId="11" fillId="0" borderId="10" xfId="0" applyNumberFormat="1" applyFont="1" applyBorder="1" applyAlignment="1" applyProtection="1">
      <alignment horizontal="left" vertical="center"/>
      <protection locked="0"/>
    </xf>
    <xf numFmtId="0" fontId="11" fillId="0" borderId="10" xfId="0" applyFont="1" applyBorder="1" applyAlignment="1" applyProtection="1">
      <alignment horizontal="left" vertical="center" wrapText="1"/>
      <protection locked="0"/>
    </xf>
    <xf numFmtId="0" fontId="11" fillId="0" borderId="10" xfId="0" applyFont="1" applyBorder="1" applyAlignment="1" applyProtection="1">
      <alignment horizontal="center" vertical="center" wrapText="1"/>
      <protection locked="0"/>
    </xf>
    <xf numFmtId="171" fontId="11" fillId="0" borderId="10" xfId="0" applyNumberFormat="1" applyFont="1" applyBorder="1" applyAlignment="1" applyProtection="1">
      <alignment horizontal="center" vertical="center"/>
      <protection locked="0"/>
    </xf>
    <xf numFmtId="167" fontId="11" fillId="0" borderId="10" xfId="0" applyNumberFormat="1" applyFont="1" applyBorder="1" applyAlignment="1" applyProtection="1">
      <alignment vertical="center" shrinkToFit="1"/>
      <protection locked="0"/>
    </xf>
    <xf numFmtId="172" fontId="11" fillId="0" borderId="10" xfId="0" applyNumberFormat="1" applyFont="1" applyBorder="1" applyAlignment="1" applyProtection="1">
      <alignment horizontal="left" vertical="center" wrapText="1"/>
      <protection locked="0"/>
    </xf>
    <xf numFmtId="49" fontId="11" fillId="0" borderId="10" xfId="0" applyNumberFormat="1" applyFont="1" applyBorder="1" applyAlignment="1" applyProtection="1">
      <alignment horizontal="left" vertical="center" wrapText="1"/>
      <protection locked="0"/>
    </xf>
    <xf numFmtId="0" fontId="11" fillId="0" borderId="10" xfId="0" applyFont="1" applyBorder="1" applyAlignment="1" applyProtection="1">
      <alignment horizontal="right" vertical="center"/>
      <protection locked="0"/>
    </xf>
    <xf numFmtId="172" fontId="11" fillId="0" borderId="10" xfId="0" applyNumberFormat="1" applyFont="1" applyBorder="1" applyAlignment="1" applyProtection="1">
      <alignment horizontal="right" vertical="center" wrapText="1"/>
      <protection locked="0"/>
    </xf>
    <xf numFmtId="0" fontId="11" fillId="0" borderId="10" xfId="0" applyFont="1" applyBorder="1" applyAlignment="1" applyProtection="1">
      <alignment horizontal="right" vertical="center" wrapText="1"/>
      <protection locked="0"/>
    </xf>
    <xf numFmtId="0" fontId="11" fillId="0" borderId="8" xfId="0" quotePrefix="1" applyFont="1" applyBorder="1" applyAlignment="1" applyProtection="1">
      <alignment horizontal="center" vertical="center" wrapText="1"/>
      <protection locked="0"/>
    </xf>
    <xf numFmtId="0" fontId="5" fillId="0" borderId="0" xfId="0" applyFont="1" applyAlignment="1" applyProtection="1">
      <alignment horizontal="center" wrapText="1"/>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4" fillId="4" borderId="5" xfId="0" applyFont="1" applyFill="1" applyBorder="1" applyAlignment="1" applyProtection="1">
      <alignment vertical="center"/>
      <protection locked="0"/>
    </xf>
    <xf numFmtId="0" fontId="14" fillId="4" borderId="7" xfId="0" applyFont="1" applyFill="1" applyBorder="1" applyAlignment="1" applyProtection="1">
      <alignment vertical="center"/>
      <protection locked="0"/>
    </xf>
    <xf numFmtId="49" fontId="14" fillId="6" borderId="6" xfId="0" applyNumberFormat="1" applyFont="1" applyFill="1" applyBorder="1" applyAlignment="1" applyProtection="1">
      <alignment vertical="center"/>
      <protection locked="0"/>
    </xf>
    <xf numFmtId="166" fontId="14" fillId="6" borderId="6" xfId="0" applyNumberFormat="1" applyFont="1" applyFill="1" applyBorder="1" applyAlignment="1" applyProtection="1">
      <alignment horizontal="right" vertical="center"/>
      <protection locked="0"/>
    </xf>
    <xf numFmtId="49" fontId="14" fillId="6" borderId="8" xfId="0" applyNumberFormat="1" applyFont="1" applyFill="1" applyBorder="1" applyAlignment="1" applyProtection="1">
      <alignment vertical="center"/>
      <protection locked="0"/>
    </xf>
    <xf numFmtId="166" fontId="14" fillId="6" borderId="8" xfId="0" applyNumberFormat="1" applyFont="1" applyFill="1" applyBorder="1" applyAlignment="1" applyProtection="1">
      <alignment horizontal="right" vertical="center"/>
      <protection locked="0"/>
    </xf>
    <xf numFmtId="49" fontId="12" fillId="0" borderId="5"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40" fontId="12" fillId="0" borderId="6" xfId="0" applyNumberFormat="1" applyFont="1" applyBorder="1" applyAlignment="1" applyProtection="1">
      <alignment vertical="center" shrinkToFit="1"/>
      <protection locked="0"/>
    </xf>
    <xf numFmtId="40" fontId="11" fillId="0" borderId="6" xfId="0" applyNumberFormat="1" applyFont="1" applyBorder="1" applyAlignment="1" applyProtection="1">
      <alignment vertical="center" shrinkToFit="1"/>
      <protection locked="0"/>
    </xf>
    <xf numFmtId="40" fontId="11" fillId="0" borderId="8" xfId="0" applyNumberFormat="1" applyFont="1" applyBorder="1" applyAlignment="1" applyProtection="1">
      <alignment vertical="center" shrinkToFit="1"/>
      <protection locked="0"/>
    </xf>
    <xf numFmtId="0" fontId="12" fillId="3" borderId="4" xfId="0" applyFont="1" applyFill="1" applyBorder="1" applyAlignment="1" applyProtection="1">
      <alignment horizontal="center" vertical="center" wrapText="1"/>
      <protection locked="0"/>
    </xf>
    <xf numFmtId="49" fontId="12" fillId="0" borderId="9" xfId="0" applyNumberFormat="1" applyFont="1"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49" fontId="12" fillId="3" borderId="9" xfId="0" applyNumberFormat="1"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wrapText="1"/>
      <protection locked="0"/>
    </xf>
    <xf numFmtId="49" fontId="12" fillId="8" borderId="9" xfId="0" applyNumberFormat="1" applyFont="1" applyFill="1" applyBorder="1" applyAlignment="1" applyProtection="1">
      <alignment horizontal="left" vertical="center"/>
      <protection locked="0"/>
    </xf>
    <xf numFmtId="0" fontId="12" fillId="8" borderId="9" xfId="0" applyFont="1" applyFill="1" applyBorder="1" applyAlignment="1" applyProtection="1">
      <alignment horizontal="left"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1971675</xdr:colOff>
      <xdr:row>11</xdr:row>
      <xdr:rowOff>19050</xdr:rowOff>
    </xdr:from>
    <xdr:to>
      <xdr:col>3</xdr:col>
      <xdr:colOff>447675</xdr:colOff>
      <xdr:row>12</xdr:row>
      <xdr:rowOff>371475</xdr:rowOff>
    </xdr:to>
    <xdr:pic>
      <xdr:nvPicPr>
        <xdr:cNvPr id="2" name="Picture"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2</xdr:row>
      <xdr:rowOff>9525</xdr:rowOff>
    </xdr:from>
    <xdr:to>
      <xdr:col>2</xdr:col>
      <xdr:colOff>485775</xdr:colOff>
      <xdr:row>4</xdr:row>
      <xdr:rowOff>104775</xdr:rowOff>
    </xdr:to>
    <xdr:pic>
      <xdr:nvPicPr>
        <xdr:cNvPr id="2" name="Picture"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xdr:colOff>
      <xdr:row>2</xdr:row>
      <xdr:rowOff>76200</xdr:rowOff>
    </xdr:from>
    <xdr:to>
      <xdr:col>2</xdr:col>
      <xdr:colOff>429450</xdr:colOff>
      <xdr:row>5</xdr:row>
      <xdr:rowOff>-10000</xdr:rowOff>
    </xdr:to>
    <xdr:pic>
      <xdr:nvPicPr>
        <xdr:cNvPr id="3" name="Picture" descr="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2</xdr:row>
      <xdr:rowOff>76200</xdr:rowOff>
    </xdr:from>
    <xdr:to>
      <xdr:col>2</xdr:col>
      <xdr:colOff>429450</xdr:colOff>
      <xdr:row>5</xdr:row>
      <xdr:rowOff>-10000</xdr:rowOff>
    </xdr:to>
    <xdr:pic>
      <xdr:nvPicPr>
        <xdr:cNvPr id="4" name="Picture" descr="Log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xdr:colOff>
      <xdr:row>2</xdr:row>
      <xdr:rowOff>76200</xdr:rowOff>
    </xdr:from>
    <xdr:to>
      <xdr:col>3</xdr:col>
      <xdr:colOff>48450</xdr:colOff>
      <xdr:row>5</xdr:row>
      <xdr:rowOff>-10000</xdr:rowOff>
    </xdr:to>
    <xdr:pic>
      <xdr:nvPicPr>
        <xdr:cNvPr id="6" name="Picture" descr="Log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xdr:colOff>
      <xdr:row>2</xdr:row>
      <xdr:rowOff>76200</xdr:rowOff>
    </xdr:from>
    <xdr:to>
      <xdr:col>2</xdr:col>
      <xdr:colOff>429450</xdr:colOff>
      <xdr:row>5</xdr:row>
      <xdr:rowOff>-10000</xdr:rowOff>
    </xdr:to>
    <xdr:pic>
      <xdr:nvPicPr>
        <xdr:cNvPr id="5" name="Picture" descr="Logo">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19050</xdr:colOff>
      <xdr:row>2</xdr:row>
      <xdr:rowOff>76200</xdr:rowOff>
    </xdr:from>
    <xdr:to>
      <xdr:col>2</xdr:col>
      <xdr:colOff>429450</xdr:colOff>
      <xdr:row>5</xdr:row>
      <xdr:rowOff>-10000</xdr:rowOff>
    </xdr:to>
    <xdr:pic>
      <xdr:nvPicPr>
        <xdr:cNvPr id="7" name="Picture" descr="Logo">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52700" y="7496175"/>
          <a:ext cx="9239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15"/>
  <sheetViews>
    <sheetView tabSelected="1" topLeftCell="B2" workbookViewId="0"/>
  </sheetViews>
  <sheetFormatPr defaultColWidth="9.109375" defaultRowHeight="14.4"/>
  <cols>
    <col min="1" max="1" width="20.77734375" hidden="1" customWidth="1"/>
    <col min="2" max="2" width="8.88671875" customWidth="1"/>
    <col min="3" max="4" width="36.77734375" customWidth="1"/>
    <col min="5" max="5" width="8.88671875" customWidth="1"/>
    <col min="6" max="6" width="3.44140625" customWidth="1"/>
  </cols>
  <sheetData>
    <row r="1" spans="1:6" ht="44.25" hidden="1" customHeight="1">
      <c r="A1" s="1"/>
      <c r="B1" s="1"/>
      <c r="C1" s="1"/>
      <c r="D1" s="1"/>
      <c r="E1" s="1"/>
      <c r="F1" s="1"/>
    </row>
    <row r="2" spans="1:6" ht="15.75" customHeight="1">
      <c r="A2" s="1"/>
      <c r="B2" s="2"/>
      <c r="C2" s="1"/>
      <c r="D2" s="1"/>
      <c r="E2" s="1"/>
      <c r="F2" s="3"/>
    </row>
    <row r="3" spans="1:6" ht="21" customHeight="1">
      <c r="A3" s="1"/>
      <c r="B3" s="1"/>
      <c r="C3" s="1"/>
      <c r="D3" s="1"/>
      <c r="E3" s="1"/>
      <c r="F3" s="3"/>
    </row>
    <row r="4" spans="1:6" ht="21" hidden="1" customHeight="1">
      <c r="A4" s="1"/>
      <c r="B4" s="1"/>
      <c r="C4" s="1"/>
      <c r="D4" s="1"/>
      <c r="E4" s="1"/>
      <c r="F4" s="3"/>
    </row>
    <row r="5" spans="1:6" ht="45" customHeight="1">
      <c r="A5" s="1"/>
      <c r="B5" s="124" t="str">
        <f>IF(VALUE($A$1)=1,"BILL OF QUANTITY","PRICE SCHEDULE")</f>
        <v>PRICE SCHEDULE</v>
      </c>
      <c r="C5" s="124"/>
      <c r="D5" s="124"/>
      <c r="E5" s="124"/>
      <c r="F5" s="3"/>
    </row>
    <row r="6" spans="1:6" ht="277.5" customHeight="1">
      <c r="A6" s="1"/>
      <c r="B6" s="4"/>
      <c r="C6" s="123" t="s">
        <v>143</v>
      </c>
      <c r="D6" s="123"/>
      <c r="E6" s="4"/>
      <c r="F6" s="3"/>
    </row>
    <row r="7" spans="1:6" ht="39.75" customHeight="1">
      <c r="A7" s="1"/>
      <c r="B7" s="5"/>
      <c r="C7" s="6"/>
      <c r="D7" s="6"/>
      <c r="E7" s="6"/>
      <c r="F7" s="3"/>
    </row>
    <row r="8" spans="1:6" ht="26.25" customHeight="1">
      <c r="A8" s="1"/>
      <c r="B8" s="125" t="s">
        <v>144</v>
      </c>
      <c r="C8" s="125"/>
      <c r="D8" s="125"/>
      <c r="E8" s="125"/>
      <c r="F8" s="3"/>
    </row>
    <row r="9" spans="1:6" ht="32.25" customHeight="1">
      <c r="A9" s="1"/>
      <c r="B9" s="125"/>
      <c r="C9" s="125"/>
      <c r="D9" s="125"/>
      <c r="E9" s="125"/>
      <c r="F9" s="7"/>
    </row>
    <row r="10" spans="1:6" ht="26.25" customHeight="1">
      <c r="A10" s="1"/>
      <c r="B10" s="125" t="s">
        <v>145</v>
      </c>
      <c r="C10" s="125"/>
      <c r="D10" s="125"/>
      <c r="E10" s="125"/>
      <c r="F10" s="3"/>
    </row>
    <row r="11" spans="1:6" ht="19.5" customHeight="1">
      <c r="A11" s="1"/>
      <c r="B11" s="125"/>
      <c r="C11" s="125"/>
      <c r="D11" s="125"/>
      <c r="E11" s="125"/>
      <c r="F11" s="7"/>
    </row>
    <row r="12" spans="1:6" ht="39.75" customHeight="1">
      <c r="A12" s="1"/>
      <c r="B12" s="1"/>
      <c r="C12" s="8"/>
      <c r="D12" s="9"/>
      <c r="E12" s="1"/>
      <c r="F12" s="3"/>
    </row>
    <row r="13" spans="1:6" ht="39.75" customHeight="1">
      <c r="A13" s="1"/>
      <c r="B13" s="1"/>
      <c r="C13" s="1"/>
      <c r="D13" s="1"/>
      <c r="E13" s="1"/>
      <c r="F13" s="3"/>
    </row>
    <row r="14" spans="1:6" ht="39.75" hidden="1" customHeight="1">
      <c r="A14" s="1"/>
      <c r="B14" s="1"/>
      <c r="C14" s="5"/>
      <c r="D14" s="5"/>
      <c r="E14" s="1"/>
      <c r="F14" s="3"/>
    </row>
    <row r="15" spans="1:6" ht="27" customHeight="1">
      <c r="A15" s="1"/>
      <c r="B15" s="1"/>
      <c r="C15" s="5" t="s">
        <v>146</v>
      </c>
      <c r="D15" s="10"/>
      <c r="E15" s="1"/>
      <c r="F15" s="3"/>
    </row>
  </sheetData>
  <mergeCells count="4">
    <mergeCell ref="C6:D6"/>
    <mergeCell ref="B5:E5"/>
    <mergeCell ref="B8:E9"/>
    <mergeCell ref="B10:E11"/>
  </mergeCells>
  <printOptions horizontalCentered="1"/>
  <pageMargins left="0.51181102362204722" right="0.51181102362204722" top="0.51181102362204722" bottom="0.47244094488188981" header="7.874015748031496E-2"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K33"/>
  <sheetViews>
    <sheetView topLeftCell="B2" workbookViewId="0"/>
  </sheetViews>
  <sheetFormatPr defaultColWidth="9.109375" defaultRowHeight="14.4"/>
  <cols>
    <col min="1" max="1" width="12.77734375" hidden="1" customWidth="1"/>
    <col min="2" max="2" width="2.21875" customWidth="1"/>
    <col min="3" max="3" width="108.109375" customWidth="1"/>
    <col min="4" max="11" width="10.21875" customWidth="1"/>
  </cols>
  <sheetData>
    <row r="1" spans="1:11" ht="51" hidden="1" customHeight="1">
      <c r="A1" s="1"/>
      <c r="B1" s="1"/>
      <c r="C1" s="1"/>
      <c r="D1" s="1"/>
      <c r="E1" s="1"/>
      <c r="F1" s="1"/>
      <c r="G1" s="1"/>
      <c r="H1" s="1"/>
      <c r="I1" s="1"/>
      <c r="J1" s="1"/>
      <c r="K1" s="1"/>
    </row>
    <row r="2" spans="1:11" ht="12" customHeight="1">
      <c r="A2" s="1"/>
      <c r="B2" s="1"/>
      <c r="C2" s="1"/>
      <c r="D2" s="1"/>
      <c r="E2" s="1"/>
      <c r="F2" s="1"/>
      <c r="G2" s="1"/>
      <c r="H2" s="1"/>
      <c r="I2" s="1"/>
      <c r="J2" s="1"/>
      <c r="K2" s="1"/>
    </row>
    <row r="3" spans="1:11" ht="12" customHeight="1">
      <c r="A3" s="1"/>
      <c r="B3" s="1"/>
      <c r="C3" s="1"/>
      <c r="D3" s="1"/>
      <c r="E3" s="1"/>
      <c r="F3" s="1"/>
      <c r="G3" s="1"/>
      <c r="H3" s="1"/>
      <c r="I3" s="1"/>
      <c r="J3" s="1"/>
      <c r="K3" s="1"/>
    </row>
    <row r="4" spans="1:11" ht="12" customHeight="1">
      <c r="A4" s="1"/>
      <c r="B4" s="1"/>
      <c r="C4" s="1"/>
      <c r="D4" s="1"/>
      <c r="E4" s="1"/>
      <c r="F4" s="1"/>
      <c r="G4" s="1"/>
      <c r="H4" s="1"/>
      <c r="I4" s="1"/>
      <c r="J4" s="1"/>
      <c r="K4" s="1"/>
    </row>
    <row r="5" spans="1:11" ht="12" customHeight="1">
      <c r="A5" s="1"/>
      <c r="B5" s="11"/>
      <c r="C5" s="1"/>
      <c r="D5" s="1"/>
      <c r="E5" s="1"/>
      <c r="F5" s="1"/>
      <c r="G5" s="1"/>
      <c r="H5" s="1"/>
      <c r="I5" s="1"/>
      <c r="J5" s="1"/>
      <c r="K5" s="1"/>
    </row>
    <row r="6" spans="1:11" ht="19.5" customHeight="1">
      <c r="A6" s="1"/>
      <c r="B6" s="1"/>
      <c r="C6" s="12" t="s">
        <v>147</v>
      </c>
      <c r="D6" s="1"/>
      <c r="E6" s="1"/>
      <c r="F6" s="1"/>
      <c r="G6" s="1"/>
      <c r="H6" s="1"/>
      <c r="I6" s="1"/>
      <c r="J6" s="1"/>
      <c r="K6" s="1"/>
    </row>
    <row r="7" spans="1:11" ht="12.75" customHeight="1">
      <c r="A7" s="1"/>
      <c r="B7" s="1"/>
      <c r="C7" s="13" t="s">
        <v>148</v>
      </c>
      <c r="D7" s="1"/>
      <c r="E7" s="1"/>
      <c r="F7" s="1"/>
      <c r="G7" s="1"/>
      <c r="H7" s="1"/>
      <c r="I7" s="1"/>
      <c r="J7" s="1"/>
      <c r="K7" s="1"/>
    </row>
    <row r="8" spans="1:11" ht="45" customHeight="1">
      <c r="A8" s="1"/>
      <c r="B8" s="1"/>
      <c r="C8" s="13" t="str">
        <f>"- This offer itself and/or the terms included in it, including but not limited to prices and/or costs quoted in this offer, are valid from the quotation date till: "&amp;QF_SYS_VALIDITY_DATE&amp;" "&amp;QF_SYS_VALIDDATE_SERVERPRODUCT&amp;" (Valid period for Non-Server products shall not exceed 3 months and Server products shall not exceed 30 days). "</f>
        <v xml:space="preserve">- This offer itself and/or the terms included in it, including but not limited to prices and/or costs quoted in this offer, are valid from the quotation date till: 2025-01-24  (Valid period for Non-Server products shall not exceed 3 months and Server products shall not exceed 30 days). </v>
      </c>
      <c r="D8" s="1"/>
      <c r="E8" s="13"/>
      <c r="F8" s="13"/>
      <c r="G8" s="13"/>
      <c r="H8" s="13"/>
      <c r="I8" s="13"/>
      <c r="J8" s="13"/>
      <c r="K8" s="13"/>
    </row>
    <row r="9" spans="1:11" ht="30" customHeight="1">
      <c r="A9" s="1"/>
      <c r="B9" s="1"/>
      <c r="C9" s="13" t="s">
        <v>149</v>
      </c>
      <c r="D9" s="1"/>
      <c r="E9" s="1"/>
      <c r="F9" s="13"/>
      <c r="G9" s="13"/>
      <c r="H9" s="13"/>
      <c r="I9" s="13"/>
      <c r="J9" s="13"/>
      <c r="K9" s="13"/>
    </row>
    <row r="10" spans="1:11" ht="30" customHeight="1">
      <c r="A10" s="1"/>
      <c r="B10" s="1"/>
      <c r="C10" s="13" t="str">
        <f>"- This offer constitutes mere information and an invitation to the Channel Partner/Customer, not binding for Huawei, to submit to Huawei its petition of Purchase Order."</f>
        <v>- This offer constitutes mere information and an invitation to the Channel Partner/Customer, not binding for Huawei, to submit to Huawei its petition of Purchase Order.</v>
      </c>
      <c r="D10" s="13"/>
      <c r="E10" s="13"/>
      <c r="F10" s="13"/>
      <c r="G10" s="13"/>
      <c r="H10" s="13"/>
      <c r="I10" s="13"/>
      <c r="J10" s="13"/>
      <c r="K10" s="13"/>
    </row>
    <row r="11" spans="1:11" ht="60" customHeight="1">
      <c r="A11" s="1"/>
      <c r="B11" s="1"/>
      <c r="C11" s="13" t="str">
        <f>CONCATENATE("- The terms contained in this offer and/or this offer itself shall be valid and enforceable by the Channel Partner/customer"," and bidding for Huawei only in case of Huawei and the Channel Partner/Customer formalizes, according to Huawei contracting processes,","a Purchase Order that includes Huawei terms and conditions.")</f>
        <v>- The terms contained in this offer and/or this offer itself shall be valid and enforceable by the Channel Partner/customer and bidding for Huawei only in case of Huawei and the Channel Partner/Customer formalizes, according to Huawei contracting processes,a Purchase Order that includes Huawei terms and conditions.</v>
      </c>
      <c r="D11" s="13"/>
      <c r="E11" s="13"/>
      <c r="F11" s="13"/>
      <c r="G11" s="13"/>
      <c r="H11" s="13"/>
      <c r="I11" s="13"/>
      <c r="J11" s="13"/>
      <c r="K11" s="13"/>
    </row>
    <row r="12" spans="1:11" ht="45" customHeight="1">
      <c r="A12" s="1"/>
      <c r="B12" s="1"/>
      <c r="C12" s="13" t="str">
        <f>CONCATENATE("- The abovementioned Huawei terms and conditions shall be the only terms and conditions applicable to the provision of services ","and/or goods described in this offer and therefore they shall govern the provision of the mentioned goods and/or services.")</f>
        <v>- The abovementioned Huawei terms and conditions shall be the only terms and conditions applicable to the provision of services and/or goods described in this offer and therefore they shall govern the provision of the mentioned goods and/or services.</v>
      </c>
      <c r="D12" s="13"/>
      <c r="E12" s="13"/>
      <c r="F12" s="13"/>
      <c r="G12" s="13"/>
      <c r="H12" s="13"/>
      <c r="I12" s="13"/>
      <c r="J12" s="13"/>
      <c r="K12" s="13"/>
    </row>
    <row r="13" spans="1:11" ht="45" customHeight="1">
      <c r="A13" s="1"/>
      <c r="B13" s="1"/>
      <c r="C13" s="13" t="str">
        <f>CONCATENATE("- Huawei may, at its sole discretion and without any compensation (including but not limited to indemnification for damages) in ","favor of the Channel Partner/Customer, accepts or rejects the formalization of a Purchase Order.")</f>
        <v>- Huawei may, at its sole discretion and without any compensation (including but not limited to indemnification for damages) in favor of the Channel Partner/Customer, accepts or rejects the formalization of a Purchase Order.</v>
      </c>
      <c r="D13" s="13"/>
      <c r="E13" s="13"/>
      <c r="F13" s="13"/>
      <c r="G13" s="13"/>
      <c r="H13" s="13"/>
      <c r="I13" s="13"/>
      <c r="J13" s="13"/>
      <c r="K13" s="13"/>
    </row>
    <row r="14" spans="1:11" ht="45" customHeight="1">
      <c r="A14" s="1"/>
      <c r="B14" s="1"/>
      <c r="C14" s="13" t="str">
        <f>CONCATENATE("- Any Channel Partner/Customer terms and/or conditions, communicated (orally, in writing or trough any other mean) or not, shall ","be void and not applicable for the provision of the goods and/or services described in the present offer.")</f>
        <v>- Any Channel Partner/Customer terms and/or conditions, communicated (orally, in writing or trough any other mean) or not, shall be void and not applicable for the provision of the goods and/or services described in the present offer.</v>
      </c>
      <c r="D14" s="13"/>
      <c r="E14" s="13"/>
      <c r="F14" s="13"/>
      <c r="G14" s="13"/>
      <c r="H14" s="13"/>
      <c r="I14" s="13"/>
      <c r="J14" s="13"/>
      <c r="K14" s="13"/>
    </row>
    <row r="15" spans="1:11" ht="4.5" customHeight="1">
      <c r="A15" s="1"/>
      <c r="B15" s="1"/>
      <c r="C15" s="13"/>
      <c r="D15" s="13"/>
      <c r="E15" s="13"/>
      <c r="F15" s="13"/>
      <c r="G15" s="13"/>
      <c r="H15" s="13"/>
      <c r="I15" s="13"/>
      <c r="J15" s="13"/>
      <c r="K15" s="13"/>
    </row>
    <row r="16" spans="1:11" ht="30" customHeight="1">
      <c r="A16" s="1"/>
      <c r="B16" s="1"/>
      <c r="C16" s="13" t="s">
        <v>150</v>
      </c>
      <c r="D16" s="13"/>
      <c r="E16" s="13"/>
      <c r="F16" s="13"/>
      <c r="G16" s="13"/>
      <c r="H16" s="13"/>
      <c r="I16" s="13"/>
      <c r="J16" s="13"/>
      <c r="K16" s="13"/>
    </row>
    <row r="17" spans="1:11" ht="4.5" customHeight="1">
      <c r="A17" s="1"/>
      <c r="B17" s="1"/>
      <c r="C17" s="13"/>
      <c r="D17" s="13"/>
      <c r="E17" s="13"/>
      <c r="F17" s="13"/>
      <c r="G17" s="13"/>
      <c r="H17" s="13"/>
      <c r="I17" s="13"/>
      <c r="J17" s="13"/>
      <c r="K17" s="13"/>
    </row>
    <row r="18" spans="1:11" ht="12.75" customHeight="1">
      <c r="A18" s="1"/>
      <c r="B18" s="1"/>
      <c r="C18" s="13" t="s">
        <v>151</v>
      </c>
      <c r="D18" s="13"/>
      <c r="E18" s="13"/>
      <c r="F18" s="13"/>
      <c r="G18" s="13"/>
      <c r="H18" s="13"/>
      <c r="I18" s="13"/>
      <c r="J18" s="13"/>
      <c r="K18" s="13"/>
    </row>
    <row r="19" spans="1:11" ht="4.5" customHeight="1">
      <c r="A19" s="1"/>
      <c r="B19" s="1"/>
      <c r="C19" s="13"/>
      <c r="D19" s="13"/>
      <c r="E19" s="13"/>
      <c r="F19" s="13"/>
      <c r="G19" s="13"/>
      <c r="H19" s="13"/>
      <c r="I19" s="13"/>
      <c r="J19" s="13"/>
      <c r="K19" s="13"/>
    </row>
    <row r="20" spans="1:11" ht="30" customHeight="1">
      <c r="A20" s="1"/>
      <c r="B20" s="1"/>
      <c r="C20" s="13" t="s">
        <v>152</v>
      </c>
      <c r="D20" s="14"/>
      <c r="E20" s="14"/>
      <c r="F20" s="14"/>
      <c r="G20" s="14"/>
      <c r="H20" s="14"/>
      <c r="I20" s="14"/>
      <c r="J20" s="14"/>
      <c r="K20" s="14"/>
    </row>
    <row r="21" spans="1:11" ht="4.5" customHeight="1">
      <c r="A21" s="1"/>
      <c r="B21" s="1"/>
      <c r="C21" s="13"/>
      <c r="D21" s="1"/>
      <c r="E21" s="1"/>
      <c r="F21" s="1"/>
      <c r="G21" s="1"/>
      <c r="H21" s="1"/>
      <c r="I21" s="1"/>
      <c r="J21" s="1"/>
      <c r="K21" s="1"/>
    </row>
    <row r="22" spans="1:11" ht="30" customHeight="1">
      <c r="A22" s="1"/>
      <c r="B22" s="1"/>
      <c r="C22" s="13" t="s">
        <v>153</v>
      </c>
      <c r="D22" s="1"/>
      <c r="E22" s="1"/>
      <c r="F22" s="1"/>
      <c r="G22" s="1"/>
      <c r="H22" s="1"/>
      <c r="I22" s="1"/>
      <c r="J22" s="1"/>
      <c r="K22" s="1"/>
    </row>
    <row r="23" spans="1:11" ht="4.5" customHeight="1">
      <c r="A23" s="1"/>
      <c r="B23" s="1"/>
      <c r="C23" s="13"/>
      <c r="D23" s="1"/>
      <c r="E23" s="1"/>
      <c r="F23" s="1"/>
      <c r="G23" s="1"/>
      <c r="H23" s="1"/>
      <c r="I23" s="1"/>
      <c r="J23" s="1"/>
      <c r="K23" s="1"/>
    </row>
    <row r="24" spans="1:11" ht="16.5" customHeight="1">
      <c r="A24" s="1"/>
      <c r="B24" s="1"/>
      <c r="C24" s="13" t="s">
        <v>154</v>
      </c>
      <c r="D24" s="1"/>
      <c r="E24" s="1"/>
      <c r="F24" s="1"/>
      <c r="G24" s="1"/>
      <c r="H24" s="1"/>
      <c r="I24" s="1"/>
      <c r="J24" s="1"/>
      <c r="K24" s="1"/>
    </row>
    <row r="25" spans="1:11" ht="4.5" customHeight="1">
      <c r="A25" s="1"/>
      <c r="B25" s="1"/>
      <c r="C25" s="13"/>
      <c r="D25" s="1"/>
      <c r="E25" s="1"/>
      <c r="F25" s="1"/>
      <c r="G25" s="1"/>
      <c r="H25" s="1"/>
      <c r="I25" s="1"/>
      <c r="J25" s="1"/>
      <c r="K25" s="1"/>
    </row>
    <row r="26" spans="1:11" ht="45" customHeight="1">
      <c r="A26" s="1"/>
      <c r="B26" s="1"/>
      <c r="C26" s="13" t="s">
        <v>155</v>
      </c>
      <c r="D26" s="1"/>
      <c r="E26" s="1"/>
      <c r="F26" s="1"/>
      <c r="G26" s="1"/>
      <c r="H26" s="1"/>
      <c r="I26" s="1"/>
      <c r="J26" s="1"/>
      <c r="K26" s="1"/>
    </row>
    <row r="27" spans="1:11" ht="4.5" customHeight="1">
      <c r="A27" s="1"/>
      <c r="B27" s="1"/>
      <c r="C27" s="13"/>
      <c r="D27" s="1"/>
      <c r="E27" s="1"/>
      <c r="F27" s="1"/>
      <c r="G27" s="1"/>
      <c r="H27" s="1"/>
      <c r="I27" s="1"/>
      <c r="J27" s="1"/>
      <c r="K27" s="1"/>
    </row>
    <row r="28" spans="1:11" ht="90" customHeight="1">
      <c r="A28" s="1"/>
      <c r="B28" s="1"/>
      <c r="C28" s="13" t="s">
        <v>156</v>
      </c>
      <c r="D28" s="1"/>
      <c r="E28" s="1"/>
      <c r="F28" s="1"/>
      <c r="G28" s="1"/>
      <c r="H28" s="1"/>
      <c r="I28" s="1"/>
      <c r="J28" s="1"/>
      <c r="K28" s="1"/>
    </row>
    <row r="29" spans="1:11" ht="4.5" customHeight="1">
      <c r="A29" s="1"/>
      <c r="B29" s="1"/>
      <c r="C29" s="13"/>
      <c r="D29" s="13"/>
      <c r="E29" s="13"/>
      <c r="F29" s="13"/>
      <c r="G29" s="13"/>
      <c r="H29" s="13"/>
      <c r="I29" s="13"/>
      <c r="J29" s="13"/>
      <c r="K29" s="13"/>
    </row>
    <row r="30" spans="1:11" ht="33" customHeight="1">
      <c r="A30" s="1"/>
      <c r="B30" s="1"/>
      <c r="C30" s="13" t="s">
        <v>157</v>
      </c>
      <c r="D30" s="1"/>
      <c r="E30" s="1"/>
      <c r="F30" s="1"/>
      <c r="G30" s="1"/>
      <c r="H30" s="1"/>
      <c r="I30" s="1"/>
      <c r="J30" s="1"/>
      <c r="K30" s="1"/>
    </row>
    <row r="31" spans="1:11" ht="20.25" customHeight="1">
      <c r="A31" s="1"/>
      <c r="B31" s="1"/>
      <c r="C31" s="15" t="str">
        <f>HYPERLINK("https://support.huawei.com/enterprise/en/warranty-policy","https://support.huawei.com/enterprise/en/warranty-policy")</f>
        <v>https://support.huawei.com/enterprise/en/warranty-policy</v>
      </c>
      <c r="D31" s="1"/>
      <c r="E31" s="1"/>
      <c r="F31" s="1"/>
      <c r="G31" s="1"/>
      <c r="H31" s="1"/>
      <c r="I31" s="1"/>
      <c r="J31" s="1"/>
      <c r="K31" s="1"/>
    </row>
    <row r="32" spans="1:11" ht="4.5" customHeight="1">
      <c r="A32" s="1"/>
      <c r="B32" s="1"/>
      <c r="C32" s="13"/>
      <c r="D32" s="1"/>
      <c r="E32" s="1"/>
      <c r="F32" s="1"/>
      <c r="G32" s="1"/>
      <c r="H32" s="1"/>
      <c r="I32" s="1"/>
      <c r="J32" s="1"/>
      <c r="K32" s="1"/>
    </row>
    <row r="33" spans="1:11" ht="90" customHeight="1">
      <c r="A33" s="1"/>
      <c r="B33" s="1"/>
      <c r="C33" s="13" t="s">
        <v>158</v>
      </c>
      <c r="D33" s="1"/>
      <c r="E33" s="1"/>
      <c r="F33" s="1"/>
      <c r="G33" s="1"/>
      <c r="H33" s="1"/>
      <c r="I33" s="1"/>
      <c r="J33" s="1"/>
      <c r="K33" s="1"/>
    </row>
  </sheetData>
  <printOptions horizontalCentered="1"/>
  <pageMargins left="0.51181102362204722" right="0.51181102362204722" top="0.51181102362204722" bottom="0.47244094488188981" header="7.874015748031496E-2" footer="0.1968503937007874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E22"/>
  <sheetViews>
    <sheetView topLeftCell="B1" workbookViewId="0"/>
  </sheetViews>
  <sheetFormatPr defaultColWidth="9.109375" defaultRowHeight="14.4"/>
  <cols>
    <col min="1" max="1" width="0" hidden="1" customWidth="1"/>
    <col min="2" max="2" width="2.33203125" customWidth="1"/>
    <col min="3" max="3" width="23.33203125" customWidth="1"/>
    <col min="4" max="4" width="60.109375" customWidth="1"/>
    <col min="5" max="5" width="10.21875" customWidth="1"/>
  </cols>
  <sheetData>
    <row r="1" spans="1:5" ht="13.2"/>
    <row r="2" spans="1:5" ht="12" customHeight="1">
      <c r="A2" s="1"/>
      <c r="B2" s="16"/>
      <c r="C2" s="16"/>
      <c r="D2" s="16"/>
      <c r="E2" s="16"/>
    </row>
    <row r="3" spans="1:5" ht="12" customHeight="1">
      <c r="A3" s="1"/>
      <c r="B3" s="16"/>
      <c r="C3" s="17"/>
      <c r="D3" s="17"/>
      <c r="E3" s="16"/>
    </row>
    <row r="4" spans="1:5" ht="12" customHeight="1">
      <c r="A4" s="1"/>
      <c r="B4" s="16"/>
      <c r="C4" s="18"/>
      <c r="D4" s="18"/>
      <c r="E4" s="16"/>
    </row>
    <row r="5" spans="1:5" ht="12" customHeight="1">
      <c r="A5" s="1"/>
      <c r="B5" s="19"/>
      <c r="C5" s="19"/>
      <c r="D5" s="19"/>
      <c r="E5" s="19"/>
    </row>
    <row r="6" spans="1:5" ht="12" customHeight="1">
      <c r="A6" s="1"/>
      <c r="B6" s="16"/>
      <c r="C6" s="20"/>
      <c r="D6" s="21"/>
      <c r="E6" s="16"/>
    </row>
    <row r="7" spans="1:5" ht="12" customHeight="1">
      <c r="A7" s="1"/>
      <c r="B7" s="16"/>
      <c r="C7" s="22"/>
      <c r="D7" s="22"/>
      <c r="E7" s="16"/>
    </row>
    <row r="8" spans="1:5" ht="12" customHeight="1">
      <c r="A8" s="1"/>
      <c r="B8" s="16"/>
      <c r="C8" s="23" t="s">
        <v>159</v>
      </c>
      <c r="D8" s="24"/>
      <c r="E8" s="16"/>
    </row>
    <row r="9" spans="1:5" ht="25.5" customHeight="1">
      <c r="A9" s="1"/>
      <c r="B9" s="16"/>
      <c r="C9" s="25" t="s">
        <v>160</v>
      </c>
      <c r="D9" s="25" t="s">
        <v>161</v>
      </c>
      <c r="E9" s="16"/>
    </row>
    <row r="10" spans="1:5" ht="18" customHeight="1">
      <c r="A10" s="1"/>
      <c r="B10" s="16"/>
      <c r="C10" s="26" t="s">
        <v>162</v>
      </c>
      <c r="D10" s="27" t="s">
        <v>143</v>
      </c>
      <c r="E10" s="16"/>
    </row>
    <row r="11" spans="1:5" ht="18" customHeight="1">
      <c r="A11" s="1"/>
      <c r="B11" s="16"/>
      <c r="C11" s="26" t="s">
        <v>163</v>
      </c>
      <c r="D11" s="27" t="s">
        <v>144</v>
      </c>
      <c r="E11" s="16"/>
    </row>
    <row r="12" spans="1:5" ht="18" hidden="1" customHeight="1">
      <c r="A12" s="1"/>
      <c r="B12" s="16"/>
      <c r="C12" s="26" t="s">
        <v>164</v>
      </c>
      <c r="D12" s="27"/>
      <c r="E12" s="16"/>
    </row>
    <row r="13" spans="1:5" ht="18" hidden="1" customHeight="1">
      <c r="A13" s="1"/>
      <c r="B13" s="16"/>
      <c r="C13" s="26" t="s">
        <v>165</v>
      </c>
      <c r="D13" s="27"/>
      <c r="E13" s="16"/>
    </row>
    <row r="14" spans="1:5" ht="18" hidden="1" customHeight="1">
      <c r="A14" s="1"/>
      <c r="B14" s="16"/>
      <c r="C14" s="26" t="s">
        <v>166</v>
      </c>
      <c r="D14" s="27"/>
      <c r="E14" s="16"/>
    </row>
    <row r="15" spans="1:5" ht="18" hidden="1" customHeight="1">
      <c r="A15" s="1"/>
      <c r="B15" s="16"/>
      <c r="C15" s="26" t="s">
        <v>167</v>
      </c>
      <c r="D15" s="27"/>
      <c r="E15" s="16"/>
    </row>
    <row r="16" spans="1:5" ht="18" customHeight="1">
      <c r="A16" s="1"/>
      <c r="B16" s="16"/>
      <c r="C16" s="26" t="s">
        <v>168</v>
      </c>
      <c r="D16" s="27" t="s">
        <v>145</v>
      </c>
      <c r="E16" s="16"/>
    </row>
    <row r="17" spans="1:5" ht="18" hidden="1" customHeight="1">
      <c r="A17" s="1"/>
      <c r="B17" s="16"/>
      <c r="C17" s="26" t="s">
        <v>169</v>
      </c>
      <c r="D17" s="27"/>
      <c r="E17" s="16"/>
    </row>
    <row r="18" spans="1:5" ht="18" hidden="1" customHeight="1">
      <c r="A18" s="1"/>
      <c r="B18" s="16"/>
      <c r="C18" s="26" t="s">
        <v>170</v>
      </c>
      <c r="D18" s="27"/>
      <c r="E18" s="16"/>
    </row>
    <row r="19" spans="1:5" ht="18" hidden="1" customHeight="1">
      <c r="A19" s="1"/>
      <c r="B19" s="16"/>
      <c r="C19" s="26" t="s">
        <v>171</v>
      </c>
      <c r="D19" s="27"/>
      <c r="E19" s="16"/>
    </row>
    <row r="20" spans="1:5" ht="12" customHeight="1">
      <c r="A20" s="1"/>
      <c r="B20" s="16"/>
      <c r="C20" s="16"/>
      <c r="D20" s="16"/>
      <c r="E20" s="16"/>
    </row>
    <row r="21" spans="1:5" ht="12" customHeight="1">
      <c r="A21" s="1"/>
      <c r="B21" s="16"/>
      <c r="C21" s="16"/>
      <c r="D21" s="16"/>
      <c r="E21" s="16"/>
    </row>
    <row r="22" spans="1:5" ht="12" customHeight="1">
      <c r="A22" s="1"/>
      <c r="B22" s="16"/>
      <c r="C22" s="16"/>
      <c r="D22" s="16"/>
      <c r="E22" s="16"/>
    </row>
  </sheetData>
  <printOptions horizontalCentered="1"/>
  <pageMargins left="0.51181102362204722" right="0.51181102362204722" top="0.51181102362204722" bottom="0.47244094488188981" header="7.874015748031496E-2" footer="0.1968503937007874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K40"/>
  <sheetViews>
    <sheetView topLeftCell="B2" workbookViewId="0"/>
  </sheetViews>
  <sheetFormatPr defaultColWidth="9.109375" defaultRowHeight="14.4"/>
  <cols>
    <col min="1" max="1" width="2" hidden="1" customWidth="1"/>
    <col min="2" max="2" width="2" customWidth="1"/>
    <col min="3" max="3" width="12.5546875" customWidth="1"/>
    <col min="5" max="5" width="27.88671875" customWidth="1"/>
    <col min="6" max="6" width="24.21875" hidden="1" customWidth="1"/>
    <col min="7" max="7" width="24.21875" customWidth="1"/>
    <col min="8" max="10" width="18.21875" customWidth="1"/>
  </cols>
  <sheetData>
    <row r="1" spans="1:11" ht="12.75" hidden="1" customHeight="1">
      <c r="C1" t="s">
        <v>172</v>
      </c>
      <c r="E1" t="s">
        <v>173</v>
      </c>
      <c r="F1" t="s">
        <v>174</v>
      </c>
      <c r="G1" t="s">
        <v>175</v>
      </c>
      <c r="H1" t="s">
        <v>176</v>
      </c>
      <c r="I1" t="s">
        <v>177</v>
      </c>
      <c r="J1" t="s">
        <v>178</v>
      </c>
    </row>
    <row r="2" spans="1:11" ht="12.75" customHeight="1"/>
    <row r="3" spans="1:11" ht="12.75" customHeight="1"/>
    <row r="4" spans="1:11" ht="12.75" customHeight="1"/>
    <row r="5" spans="1:11" ht="12.75" customHeight="1"/>
    <row r="6" spans="1:11" ht="12.75" customHeight="1">
      <c r="C6" s="30"/>
      <c r="D6" s="30"/>
      <c r="E6" s="30"/>
      <c r="F6" s="30"/>
      <c r="G6" s="30"/>
      <c r="H6" s="30"/>
      <c r="I6" s="30"/>
      <c r="J6" s="30"/>
      <c r="K6" s="30"/>
    </row>
    <row r="7" spans="1:11" ht="12.75" customHeight="1"/>
    <row r="8" spans="1:11" ht="12.75" customHeight="1"/>
    <row r="9" spans="1:11" ht="13.2">
      <c r="C9" s="28" t="s">
        <v>4</v>
      </c>
    </row>
    <row r="10" spans="1:11" ht="13.2">
      <c r="C10" s="126" t="s">
        <v>0</v>
      </c>
      <c r="D10" s="126"/>
      <c r="E10" s="126"/>
      <c r="F10" s="126" t="s">
        <v>1</v>
      </c>
      <c r="G10" s="126"/>
    </row>
    <row r="11" spans="1:11" ht="13.2">
      <c r="A11" t="s">
        <v>179</v>
      </c>
      <c r="C11" s="127" t="s">
        <v>2</v>
      </c>
      <c r="D11" s="127"/>
      <c r="E11" s="127"/>
      <c r="F11" s="129" t="s">
        <v>7</v>
      </c>
      <c r="G11" s="129"/>
    </row>
    <row r="12" spans="1:11" ht="13.2" hidden="1">
      <c r="A12" t="s">
        <v>180</v>
      </c>
      <c r="C12" s="127" t="s">
        <v>3</v>
      </c>
      <c r="D12" s="127"/>
      <c r="E12" s="127"/>
      <c r="F12" s="129" t="s">
        <v>7</v>
      </c>
      <c r="G12" s="129"/>
    </row>
    <row r="13" spans="1:11" ht="13.2">
      <c r="A13" t="s">
        <v>181</v>
      </c>
      <c r="C13" s="127" t="str">
        <f>"Exchange(1 "&amp;QF_SYS_LISTPRICECURRENCY&amp;"=)"</f>
        <v>Exchange(1 USD=)</v>
      </c>
      <c r="D13" s="127"/>
      <c r="E13" s="127"/>
      <c r="F13" s="130">
        <v>1</v>
      </c>
      <c r="G13" s="130"/>
    </row>
    <row r="14" spans="1:11" ht="13.2">
      <c r="A14" t="s">
        <v>182</v>
      </c>
      <c r="C14" s="127" t="s">
        <v>4</v>
      </c>
      <c r="D14" s="127"/>
      <c r="E14" s="127"/>
      <c r="F14" s="129" t="s">
        <v>8</v>
      </c>
      <c r="G14" s="129"/>
    </row>
    <row r="15" spans="1:11" ht="13.2" hidden="1">
      <c r="A15" t="s">
        <v>183</v>
      </c>
      <c r="C15" s="127" t="s">
        <v>5</v>
      </c>
      <c r="D15" s="127"/>
      <c r="E15" s="127"/>
      <c r="F15" s="129" t="s">
        <v>9</v>
      </c>
      <c r="G15" s="129"/>
    </row>
    <row r="16" spans="1:11" ht="13.2">
      <c r="A16" t="s">
        <v>184</v>
      </c>
      <c r="C16" s="128" t="s">
        <v>6</v>
      </c>
      <c r="D16" s="128"/>
      <c r="E16" s="128"/>
      <c r="F16" s="131" t="s">
        <v>10</v>
      </c>
      <c r="G16" s="131"/>
    </row>
    <row r="17" spans="1:7" ht="13.2" hidden="1">
      <c r="A17" t="s">
        <v>185</v>
      </c>
      <c r="C17" s="127" t="s">
        <v>6</v>
      </c>
      <c r="D17" s="127"/>
      <c r="E17" s="127"/>
      <c r="F17" s="129" t="s">
        <v>11</v>
      </c>
      <c r="G17" s="129"/>
    </row>
    <row r="19" spans="1:7" ht="13.2">
      <c r="C19" s="28" t="s">
        <v>12</v>
      </c>
    </row>
    <row r="20" spans="1:7" ht="52.5" customHeight="1">
      <c r="C20" s="126" t="s">
        <v>12</v>
      </c>
      <c r="D20" s="126"/>
      <c r="E20" s="126"/>
      <c r="F20" s="126" t="str">
        <f>IF(AND(QF_SYS_TRADETERMDESC1="",QF_SYS_DESTINATION1=""),"Value","Value" &amp; "
("&amp;QF_SYS_TRADETERMDESC1&amp;IF(QF_SYS_DESTINATION1="","",IF(QF_SYS_TRADETERMDESC1="",""," "))&amp;QF_SYS_DESTINATION1&amp; ")")</f>
        <v>Value
(FOB HONGKONG_Hong Kong SAR China)</v>
      </c>
      <c r="G20" s="126"/>
    </row>
    <row r="21" spans="1:7" ht="13.2">
      <c r="A21" t="s">
        <v>186</v>
      </c>
      <c r="C21" s="127" t="s">
        <v>13</v>
      </c>
      <c r="D21" s="127"/>
      <c r="E21" s="127"/>
      <c r="F21" s="130">
        <v>1</v>
      </c>
      <c r="G21" s="130"/>
    </row>
    <row r="22" spans="1:7" ht="13.2">
      <c r="A22" t="s">
        <v>187</v>
      </c>
      <c r="C22" s="127" t="s">
        <v>14</v>
      </c>
      <c r="D22" s="127"/>
      <c r="E22" s="127"/>
      <c r="F22" s="130">
        <v>1</v>
      </c>
      <c r="G22" s="130"/>
    </row>
    <row r="23" spans="1:7" ht="13.2">
      <c r="A23" t="s">
        <v>188</v>
      </c>
      <c r="C23" s="127" t="s">
        <v>15</v>
      </c>
      <c r="D23" s="127"/>
      <c r="E23" s="127"/>
      <c r="F23" s="130">
        <v>1</v>
      </c>
      <c r="G23" s="130"/>
    </row>
    <row r="24" spans="1:7" ht="13.2">
      <c r="A24" t="s">
        <v>189</v>
      </c>
      <c r="C24" s="127" t="s">
        <v>16</v>
      </c>
      <c r="D24" s="127"/>
      <c r="E24" s="127"/>
      <c r="F24" s="130">
        <v>1</v>
      </c>
      <c r="G24" s="130"/>
    </row>
    <row r="25" spans="1:7" ht="13.2">
      <c r="A25" t="s">
        <v>190</v>
      </c>
      <c r="C25" s="127" t="s">
        <v>17</v>
      </c>
      <c r="D25" s="127"/>
      <c r="E25" s="127"/>
      <c r="F25" s="130">
        <v>1</v>
      </c>
      <c r="G25" s="130"/>
    </row>
    <row r="26" spans="1:7" ht="13.2">
      <c r="A26" t="s">
        <v>191</v>
      </c>
      <c r="C26" s="127" t="s">
        <v>18</v>
      </c>
      <c r="D26" s="127"/>
      <c r="E26" s="127"/>
      <c r="F26" s="130">
        <v>1</v>
      </c>
      <c r="G26" s="130"/>
    </row>
    <row r="27" spans="1:7" ht="13.2">
      <c r="A27" t="s">
        <v>192</v>
      </c>
      <c r="C27" s="127" t="s">
        <v>19</v>
      </c>
      <c r="D27" s="127"/>
      <c r="E27" s="127"/>
      <c r="F27" s="130">
        <v>1</v>
      </c>
      <c r="G27" s="130"/>
    </row>
    <row r="28" spans="1:7" ht="13.2">
      <c r="A28" t="s">
        <v>193</v>
      </c>
      <c r="C28" s="127" t="s">
        <v>20</v>
      </c>
      <c r="D28" s="127"/>
      <c r="E28" s="127"/>
      <c r="F28" s="130">
        <v>1</v>
      </c>
      <c r="G28" s="130"/>
    </row>
    <row r="29" spans="1:7" ht="13.2">
      <c r="A29" t="s">
        <v>194</v>
      </c>
      <c r="C29" s="127" t="s">
        <v>21</v>
      </c>
      <c r="D29" s="127"/>
      <c r="E29" s="127"/>
      <c r="F29" s="130">
        <v>1</v>
      </c>
      <c r="G29" s="130"/>
    </row>
    <row r="30" spans="1:7" ht="13.2">
      <c r="A30" t="s">
        <v>195</v>
      </c>
      <c r="C30" s="128" t="s">
        <v>22</v>
      </c>
      <c r="D30" s="128"/>
      <c r="E30" s="128"/>
      <c r="F30" s="132">
        <v>1</v>
      </c>
      <c r="G30" s="132"/>
    </row>
    <row r="32" spans="1:7" ht="13.2">
      <c r="C32" s="28" t="s">
        <v>196</v>
      </c>
    </row>
    <row r="33" spans="1:11" ht="24" customHeight="1">
      <c r="C33" s="126" t="s">
        <v>23</v>
      </c>
      <c r="D33" s="126"/>
      <c r="E33" s="29" t="s">
        <v>24</v>
      </c>
      <c r="F33" s="31" t="s">
        <v>25</v>
      </c>
      <c r="G33" s="29" t="s">
        <v>26</v>
      </c>
      <c r="H33" s="29" t="str">
        <f>"Total List Price" &amp; "
(" &amp; QF_SYS_LISTPRICECURRENCY&amp; ")"</f>
        <v>Total List Price
(USD)</v>
      </c>
      <c r="I33" s="29" t="s">
        <v>12</v>
      </c>
      <c r="J33" s="126" t="str">
        <f>IF(QuoteType="Embedded", "Total Price
("&amp;QF_SYS_CURRENCY1&amp;IF(QF_SYS_TRADETERMDESC1="","",IF(QF_SYS_CURRENCY1="",""," "))&amp;QF_SYS_TRADETERMDESC1&amp;IF(QF_SYS_DESTINATION1="","",IF(QF_SYS_TRADETERMDESC1="",IF(QF_SYS_CURRENCY1="",""," ")," "))&amp;QF_SYS_DESTINATION1&amp;")","Total Price
("&amp;QF_SYS_CURRENCY1&amp;")")</f>
        <v>Total Price
(USD FOB HONGKONG_Hong Kong SAR China)</v>
      </c>
      <c r="K33" s="126"/>
    </row>
    <row r="34" spans="1:11" ht="13.2">
      <c r="A34" t="s">
        <v>197</v>
      </c>
      <c r="C34" s="133" t="s">
        <v>198</v>
      </c>
      <c r="D34" s="133"/>
      <c r="E34" s="34" t="s">
        <v>27</v>
      </c>
      <c r="F34" s="36"/>
      <c r="G34" s="36"/>
      <c r="H34" s="39">
        <f>SUBTOTAL(9,H36:H40)</f>
        <v>8596206</v>
      </c>
      <c r="I34" s="41"/>
      <c r="J34" s="136">
        <f>SUBTOTAL(9,J36:J40)</f>
        <v>1750085.8800000001</v>
      </c>
      <c r="K34" s="136"/>
    </row>
    <row r="35" spans="1:11" ht="13.2">
      <c r="A35" t="s">
        <v>199</v>
      </c>
      <c r="C35" s="133" t="s">
        <v>200</v>
      </c>
      <c r="D35" s="133"/>
      <c r="E35" s="34" t="s">
        <v>28</v>
      </c>
      <c r="F35" s="36"/>
      <c r="G35" s="36"/>
      <c r="H35" s="39">
        <f>SUBTOTAL(9,H36:H40)</f>
        <v>8596206</v>
      </c>
      <c r="I35" s="41"/>
      <c r="J35" s="136">
        <f>SUBTOTAL(9,J36:J40)</f>
        <v>1750085.8800000001</v>
      </c>
      <c r="K35" s="136"/>
    </row>
    <row r="36" spans="1:11" ht="13.2">
      <c r="A36" t="s">
        <v>201</v>
      </c>
      <c r="C36" s="134"/>
      <c r="D36" s="134"/>
      <c r="E36" s="35" t="s">
        <v>29</v>
      </c>
      <c r="F36" s="37">
        <f>1- ROUND(G36,10)</f>
        <v>0.19999999999999996</v>
      </c>
      <c r="G36" s="38">
        <v>0.8</v>
      </c>
      <c r="H36" s="40">
        <f>AllInOne!J15+AllInOne!J17+AllInOne!J18+AllInOne!J20+AllInOne!J23+AllInOne!J25+AllInOne!J26+AllInOne!J28+AllInOne!J31+AllInOne!J32+AllInOne!J34+AllInOne!J35</f>
        <v>8352816</v>
      </c>
      <c r="I36" s="42">
        <f>PHUAWEIHW1</f>
        <v>1</v>
      </c>
      <c r="J36" s="137">
        <f>AllInOne!O15+AllInOne!O17+AllInOne!O18+AllInOne!O20+AllInOne!O23+AllInOne!O25+AllInOne!O26+AllInOne!O28+AllInOne!O31+AllInOne!O32+AllInOne!O34+AllInOne!O35</f>
        <v>1670563.2000000002</v>
      </c>
      <c r="K36" s="137"/>
    </row>
    <row r="37" spans="1:11" ht="13.2">
      <c r="A37" t="s">
        <v>202</v>
      </c>
      <c r="C37" s="134"/>
      <c r="D37" s="134"/>
      <c r="E37" s="35" t="s">
        <v>30</v>
      </c>
      <c r="F37" s="37">
        <f>1- ROUND(G37,10)</f>
        <v>0.19999999999999996</v>
      </c>
      <c r="G37" s="38">
        <v>0.8</v>
      </c>
      <c r="H37" s="40">
        <f>AllInOne!J45</f>
        <v>161400</v>
      </c>
      <c r="I37" s="42">
        <f>PHUAWEISW1</f>
        <v>1</v>
      </c>
      <c r="J37" s="137">
        <f>AllInOne!O45</f>
        <v>32280</v>
      </c>
      <c r="K37" s="137"/>
    </row>
    <row r="38" spans="1:11" ht="13.2">
      <c r="A38" t="s">
        <v>203</v>
      </c>
      <c r="C38" s="134"/>
      <c r="D38" s="134"/>
      <c r="E38" s="35" t="s">
        <v>31</v>
      </c>
      <c r="F38" s="37">
        <f>1- ROUND(G38,10)</f>
        <v>0.82000000000000006</v>
      </c>
      <c r="G38" s="38">
        <v>0.18</v>
      </c>
      <c r="H38" s="40">
        <f>AllInOne!J38+AllInOne!J40+AllInOne!J41</f>
        <v>5064</v>
      </c>
      <c r="I38" s="42">
        <f>POUTSOURINGHW1</f>
        <v>1</v>
      </c>
      <c r="J38" s="137">
        <f>AllInOne!O38+AllInOne!O40+AllInOne!O41</f>
        <v>4152.4799999999996</v>
      </c>
      <c r="K38" s="137"/>
    </row>
    <row r="39" spans="1:11" ht="13.2">
      <c r="A39" t="s">
        <v>204</v>
      </c>
      <c r="C39" s="134"/>
      <c r="D39" s="134"/>
      <c r="E39" s="35" t="s">
        <v>32</v>
      </c>
      <c r="F39" s="37">
        <f>1- ROUND(G39,10)</f>
        <v>0.44999999999999996</v>
      </c>
      <c r="G39" s="38">
        <v>0.55000000000000004</v>
      </c>
      <c r="H39" s="40">
        <f>AllInOne!J43</f>
        <v>43032</v>
      </c>
      <c r="I39" s="42">
        <f>PHUAWEIHW1</f>
        <v>1</v>
      </c>
      <c r="J39" s="137">
        <f>AllInOne!O43</f>
        <v>19364.400000000001</v>
      </c>
      <c r="K39" s="137"/>
    </row>
    <row r="40" spans="1:11" ht="22.8">
      <c r="A40" t="s">
        <v>205</v>
      </c>
      <c r="C40" s="135"/>
      <c r="D40" s="135"/>
      <c r="E40" s="45" t="s">
        <v>33</v>
      </c>
      <c r="F40" s="46">
        <f>1- ROUND(G40,10)</f>
        <v>0.7</v>
      </c>
      <c r="G40" s="47">
        <v>0.3</v>
      </c>
      <c r="H40" s="48">
        <f>AllInOne!J47</f>
        <v>33894</v>
      </c>
      <c r="I40" s="49">
        <f>PHUAWEISERVICE1</f>
        <v>1</v>
      </c>
      <c r="J40" s="138">
        <f>AllInOne!O47</f>
        <v>23725.800000000003</v>
      </c>
      <c r="K40" s="138"/>
    </row>
  </sheetData>
  <mergeCells count="54">
    <mergeCell ref="C37:D37"/>
    <mergeCell ref="C38:D38"/>
    <mergeCell ref="C39:D39"/>
    <mergeCell ref="C40:D40"/>
    <mergeCell ref="J34:K34"/>
    <mergeCell ref="J35:K35"/>
    <mergeCell ref="J36:K36"/>
    <mergeCell ref="J37:K37"/>
    <mergeCell ref="J38:K38"/>
    <mergeCell ref="J39:K39"/>
    <mergeCell ref="J40:K40"/>
    <mergeCell ref="C33:D33"/>
    <mergeCell ref="J33:K33"/>
    <mergeCell ref="C34:D34"/>
    <mergeCell ref="C35:D35"/>
    <mergeCell ref="C36:D36"/>
    <mergeCell ref="C29:E29"/>
    <mergeCell ref="C30:E30"/>
    <mergeCell ref="F21:G21"/>
    <mergeCell ref="F22:G22"/>
    <mergeCell ref="F23:G23"/>
    <mergeCell ref="F24:G24"/>
    <mergeCell ref="F25:G25"/>
    <mergeCell ref="F26:G26"/>
    <mergeCell ref="F27:G27"/>
    <mergeCell ref="F28:G28"/>
    <mergeCell ref="F29:G29"/>
    <mergeCell ref="F30:G30"/>
    <mergeCell ref="C24:E24"/>
    <mergeCell ref="C25:E25"/>
    <mergeCell ref="C26:E26"/>
    <mergeCell ref="C27:E27"/>
    <mergeCell ref="C28:E28"/>
    <mergeCell ref="C20:E20"/>
    <mergeCell ref="F20:G20"/>
    <mergeCell ref="C21:E21"/>
    <mergeCell ref="C22:E22"/>
    <mergeCell ref="C23:E23"/>
    <mergeCell ref="C14:E14"/>
    <mergeCell ref="C15:E15"/>
    <mergeCell ref="C16:E16"/>
    <mergeCell ref="C17:E17"/>
    <mergeCell ref="F11:G11"/>
    <mergeCell ref="F12:G12"/>
    <mergeCell ref="F13:G13"/>
    <mergeCell ref="F14:G14"/>
    <mergeCell ref="F15:G15"/>
    <mergeCell ref="F16:G16"/>
    <mergeCell ref="F17:G17"/>
    <mergeCell ref="C10:E10"/>
    <mergeCell ref="F10:G10"/>
    <mergeCell ref="C11:E11"/>
    <mergeCell ref="C12:E12"/>
    <mergeCell ref="C13:E13"/>
  </mergeCells>
  <pageMargins left="0.51181102362204722" right="0.51181102362204722" top="0.51181102362204722" bottom="0.47244094488188981" header="7.874015748031496E-2" footer="0.1968503937007874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I12"/>
  <sheetViews>
    <sheetView topLeftCell="B2" workbookViewId="0"/>
  </sheetViews>
  <sheetFormatPr defaultColWidth="9.109375" defaultRowHeight="14.4" outlineLevelRow="1"/>
  <cols>
    <col min="1" max="1" width="2" hidden="1" customWidth="1"/>
    <col min="2" max="2" width="2" customWidth="1"/>
    <col min="3" max="3" width="5.6640625" customWidth="1"/>
    <col min="4" max="4" width="27.88671875" customWidth="1"/>
    <col min="5" max="5" width="5.6640625" customWidth="1"/>
    <col min="6" max="7" width="12" customWidth="1"/>
    <col min="8" max="9" width="14.5546875" customWidth="1"/>
  </cols>
  <sheetData>
    <row r="1" spans="1:9" ht="12.75" hidden="1" customHeight="1">
      <c r="C1" t="s">
        <v>172</v>
      </c>
      <c r="D1" t="s">
        <v>173</v>
      </c>
      <c r="E1" t="s">
        <v>206</v>
      </c>
      <c r="F1" t="s">
        <v>207</v>
      </c>
      <c r="G1" t="s">
        <v>208</v>
      </c>
      <c r="H1" t="s">
        <v>176</v>
      </c>
      <c r="I1" t="s">
        <v>178</v>
      </c>
    </row>
    <row r="2" spans="1:9" ht="12.75" customHeight="1"/>
    <row r="3" spans="1:9" ht="12.75" customHeight="1"/>
    <row r="4" spans="1:9" ht="12.75" customHeight="1"/>
    <row r="5" spans="1:9" ht="12.75" customHeight="1"/>
    <row r="6" spans="1:9" ht="12.75" customHeight="1">
      <c r="C6" s="30"/>
      <c r="D6" s="30"/>
      <c r="E6" s="30"/>
      <c r="F6" s="30"/>
      <c r="G6" s="30"/>
      <c r="H6" s="30"/>
      <c r="I6" s="30"/>
    </row>
    <row r="7" spans="1:9" ht="12.75" customHeight="1"/>
    <row r="8" spans="1:9" ht="12.75" customHeight="1"/>
    <row r="9" spans="1:9" ht="24" customHeight="1">
      <c r="C9" s="29" t="s">
        <v>23</v>
      </c>
      <c r="D9" s="29" t="s">
        <v>35</v>
      </c>
      <c r="E9" s="29" t="s">
        <v>50</v>
      </c>
      <c r="F9" s="29" t="str">
        <f>"List Price
("&amp;QF_SYS_LISTPRICECURRENCY&amp;")"</f>
        <v>List Price
(USD)</v>
      </c>
      <c r="G9" s="29" t="str">
        <f>IF(QuoteType="Embedded", "Unit Price
("&amp;QF_SYS_CURRENCY1&amp;IF(QF_SYS_TRADETERMDESC1="","",IF(QF_SYS_CURRENCY1="",""," "))&amp;QF_SYS_TRADETERMDESC1&amp;IF(QF_SYS_DESTINATION1="","",IF(QF_SYS_TRADETERMDESC1="",IF(QF_SYS_CURRENCY1="",""," ")," "))&amp;QF_SYS_DESTINATION1&amp;")","Unit Price
("&amp;QF_SYS_CURRENCY1&amp;")")</f>
        <v>Unit Price
(USD FOB HONGKONG_Hong Kong SAR China)</v>
      </c>
      <c r="H9" s="29" t="str">
        <f>"Total List Price
("&amp;QF_SYS_LISTPRICECURRENCY&amp;")"</f>
        <v>Total List Price
(USD)</v>
      </c>
      <c r="I9" s="29" t="str">
        <f>IF(QuoteType="Embedded", "Total Price
("&amp;QF_SYS_CURRENCY1&amp;IF(QF_SYS_TRADETERMDESC1="","",IF(QF_SYS_CURRENCY1="",""," "))&amp;QF_SYS_TRADETERMDESC1&amp;IF(QF_SYS_DESTINATION1="","",IF(QF_SYS_TRADETERMDESC1="",IF(QF_SYS_CURRENCY1="",""," ")," "))&amp;QF_SYS_DESTINATION1&amp;")","Total Price
("&amp;QF_SYS_CURRENCY1&amp;")")</f>
        <v>Total Price
(USD FOB HONGKONG_Hong Kong SAR China)</v>
      </c>
    </row>
    <row r="10" spans="1:9" ht="13.2">
      <c r="A10" t="s">
        <v>209</v>
      </c>
      <c r="C10" s="61" t="s">
        <v>198</v>
      </c>
      <c r="D10" s="63" t="s">
        <v>47</v>
      </c>
      <c r="E10" s="64"/>
      <c r="F10" s="67"/>
      <c r="G10" s="67"/>
      <c r="H10" s="67">
        <f>H11</f>
        <v>8596206</v>
      </c>
      <c r="I10" s="69">
        <f>I11</f>
        <v>1750085.8800000001</v>
      </c>
    </row>
    <row r="11" spans="1:9" ht="13.2" outlineLevel="1">
      <c r="A11" t="s">
        <v>210</v>
      </c>
      <c r="C11" s="33"/>
      <c r="D11" s="52" t="s">
        <v>48</v>
      </c>
      <c r="E11" s="65">
        <v>3</v>
      </c>
      <c r="F11" s="40">
        <f>IFERROR(H11/E11,0)</f>
        <v>2865402</v>
      </c>
      <c r="G11" s="40">
        <f>IFERROR(I11/E11,0)</f>
        <v>583361.96000000008</v>
      </c>
      <c r="H11" s="40">
        <f>AllInOne!I15*AllInOne!H15+AllInOne!I17*AllInOne!H17+AllInOne!I18*AllInOne!H18+AllInOne!I20*AllInOne!H20+AllInOne!I23*AllInOne!H23+AllInOne!I25*AllInOne!H25+AllInOne!I26*AllInOne!H26+AllInOne!I28*AllInOne!H28+AllInOne!I31*AllInOne!H31+AllInOne!I32*AllInOne!H32+AllInOne!I34*AllInOne!H34+AllInOne!I35*AllInOne!H35+AllInOne!I38*AllInOne!H38+AllInOne!I40*AllInOne!H40+AllInOne!I41*AllInOne!H41+AllInOne!I43*AllInOne!H43+AllInOne!I45*AllInOne!H45+AllInOne!I47*AllInOne!H47</f>
        <v>8596206</v>
      </c>
      <c r="I11" s="43">
        <f>AllInOne!N15*AllInOne!H15+AllInOne!N17*AllInOne!H17+AllInOne!N18*AllInOne!H18+AllInOne!N20*AllInOne!H20+AllInOne!N23*AllInOne!H23+AllInOne!N25*AllInOne!H25+AllInOne!N26*AllInOne!H26+AllInOne!N28*AllInOne!H28+AllInOne!N31*AllInOne!H31+AllInOne!N32*AllInOne!H32+AllInOne!N34*AllInOne!H34+AllInOne!N35*AllInOne!H35+AllInOne!N38*AllInOne!H38+AllInOne!N40*AllInOne!H40+AllInOne!N41*AllInOne!H41+AllInOne!N43*AllInOne!H43+AllInOne!N45*AllInOne!H45+AllInOne!N47*AllInOne!H47</f>
        <v>1750085.8800000001</v>
      </c>
    </row>
    <row r="12" spans="1:9" ht="13.2">
      <c r="A12" t="s">
        <v>211</v>
      </c>
      <c r="C12" s="70"/>
      <c r="D12" s="57" t="s">
        <v>27</v>
      </c>
      <c r="E12" s="71"/>
      <c r="F12" s="72"/>
      <c r="G12" s="72"/>
      <c r="H12" s="72">
        <f>H10</f>
        <v>8596206</v>
      </c>
      <c r="I12" s="73">
        <f>I10</f>
        <v>1750085.8800000001</v>
      </c>
    </row>
  </sheetData>
  <pageMargins left="0.51181102362204722" right="0.51181102362204722" top="0.51181102362204722" bottom="0.47244094488188981" header="7.874015748031496E-2" footer="0.1968503937007874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L14"/>
  <sheetViews>
    <sheetView topLeftCell="B2" workbookViewId="0"/>
  </sheetViews>
  <sheetFormatPr defaultColWidth="9.109375" defaultRowHeight="14.4"/>
  <cols>
    <col min="1" max="1" width="2" hidden="1" customWidth="1"/>
    <col min="2" max="2" width="2" customWidth="1"/>
    <col min="3" max="3" width="14.5546875" customWidth="1"/>
    <col min="4" max="4" width="27.6640625" customWidth="1"/>
    <col min="5" max="12" width="17.109375" customWidth="1"/>
  </cols>
  <sheetData>
    <row r="1" spans="1:12" ht="12.75" hidden="1" customHeight="1">
      <c r="C1" t="s">
        <v>212</v>
      </c>
      <c r="D1" t="s">
        <v>213</v>
      </c>
      <c r="E1" t="s">
        <v>214</v>
      </c>
      <c r="F1" t="s">
        <v>215</v>
      </c>
      <c r="G1" t="s">
        <v>216</v>
      </c>
      <c r="H1" t="s">
        <v>217</v>
      </c>
      <c r="I1" t="s">
        <v>218</v>
      </c>
      <c r="J1" t="s">
        <v>219</v>
      </c>
      <c r="K1" t="s">
        <v>220</v>
      </c>
      <c r="L1" t="s">
        <v>221</v>
      </c>
    </row>
    <row r="2" spans="1:12" ht="12.75" customHeight="1"/>
    <row r="3" spans="1:12" ht="12.75" customHeight="1"/>
    <row r="4" spans="1:12" ht="12.75" customHeight="1"/>
    <row r="5" spans="1:12" ht="12.75" customHeight="1"/>
    <row r="6" spans="1:12" ht="12.75" customHeight="1">
      <c r="C6" s="30"/>
      <c r="D6" s="30"/>
      <c r="E6" s="30"/>
      <c r="F6" s="30"/>
      <c r="G6" s="30"/>
      <c r="H6" s="30"/>
      <c r="I6" s="30"/>
      <c r="J6" s="30"/>
      <c r="K6" s="30"/>
      <c r="L6" s="30"/>
    </row>
    <row r="7" spans="1:12" ht="12.75" customHeight="1">
      <c r="C7" t="s">
        <v>222</v>
      </c>
    </row>
    <row r="8" spans="1:12" ht="12.75" customHeight="1"/>
    <row r="9" spans="1:12" ht="30" customHeight="1">
      <c r="C9" s="126" t="s">
        <v>34</v>
      </c>
      <c r="D9" s="126" t="s">
        <v>35</v>
      </c>
      <c r="E9" s="139" t="s">
        <v>36</v>
      </c>
      <c r="F9" s="139"/>
      <c r="G9" s="139" t="s">
        <v>39</v>
      </c>
      <c r="H9" s="139"/>
      <c r="I9" s="139" t="s">
        <v>42</v>
      </c>
      <c r="J9" s="139"/>
      <c r="K9" s="139"/>
      <c r="L9" s="139"/>
    </row>
    <row r="10" spans="1:12" ht="60">
      <c r="C10" s="126"/>
      <c r="D10" s="126"/>
      <c r="E10" s="50" t="s">
        <v>37</v>
      </c>
      <c r="F10" s="50" t="s">
        <v>38</v>
      </c>
      <c r="G10" s="50" t="s">
        <v>40</v>
      </c>
      <c r="H10" s="50" t="s">
        <v>41</v>
      </c>
      <c r="I10" s="50" t="s">
        <v>43</v>
      </c>
      <c r="J10" s="50" t="s">
        <v>44</v>
      </c>
      <c r="K10" s="50" t="s">
        <v>45</v>
      </c>
      <c r="L10" s="50" t="s">
        <v>46</v>
      </c>
    </row>
    <row r="11" spans="1:12" ht="13.2">
      <c r="A11" t="s">
        <v>223</v>
      </c>
      <c r="C11" s="51" t="s">
        <v>47</v>
      </c>
      <c r="D11" s="52" t="s">
        <v>48</v>
      </c>
      <c r="E11" s="53">
        <v>0.93600000000000005</v>
      </c>
      <c r="F11" s="53">
        <v>7.3319999999999999</v>
      </c>
      <c r="G11" s="53">
        <v>1257.306</v>
      </c>
      <c r="H11" s="53">
        <v>1709.4059999999999</v>
      </c>
      <c r="I11" s="54">
        <v>15407.4</v>
      </c>
      <c r="J11" s="54">
        <v>13151.4</v>
      </c>
      <c r="K11" s="54">
        <v>10549.38</v>
      </c>
      <c r="L11" s="55">
        <v>8949.84</v>
      </c>
    </row>
    <row r="12" spans="1:12" ht="13.2">
      <c r="A12" t="s">
        <v>224</v>
      </c>
      <c r="C12" s="56"/>
      <c r="D12" s="57" t="s">
        <v>49</v>
      </c>
      <c r="E12" s="58">
        <f t="shared" ref="E12:L12" si="0">E11</f>
        <v>0.93600000000000005</v>
      </c>
      <c r="F12" s="58">
        <f t="shared" si="0"/>
        <v>7.3319999999999999</v>
      </c>
      <c r="G12" s="58">
        <f t="shared" si="0"/>
        <v>1257.306</v>
      </c>
      <c r="H12" s="58">
        <f t="shared" si="0"/>
        <v>1709.4059999999999</v>
      </c>
      <c r="I12" s="59">
        <f t="shared" si="0"/>
        <v>15407.4</v>
      </c>
      <c r="J12" s="59">
        <f t="shared" si="0"/>
        <v>13151.4</v>
      </c>
      <c r="K12" s="59">
        <f t="shared" si="0"/>
        <v>10549.38</v>
      </c>
      <c r="L12" s="60">
        <f t="shared" si="0"/>
        <v>8949.84</v>
      </c>
    </row>
    <row r="14" spans="1:12" ht="13.2">
      <c r="C14" t="s">
        <v>225</v>
      </c>
    </row>
  </sheetData>
  <mergeCells count="5">
    <mergeCell ref="C9:C10"/>
    <mergeCell ref="D9:D10"/>
    <mergeCell ref="E9:F9"/>
    <mergeCell ref="G9:H9"/>
    <mergeCell ref="I9:L9"/>
  </mergeCells>
  <pageMargins left="0.51181102362204722" right="0.51181102362204722" top="0.51181102362204722" bottom="0.47244094488188981" header="7.874015748031496E-2" footer="0.1968503937007874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Y48"/>
  <sheetViews>
    <sheetView topLeftCell="B2" workbookViewId="0"/>
  </sheetViews>
  <sheetFormatPr defaultColWidth="9.109375" defaultRowHeight="14.4" outlineLevelRow="3"/>
  <cols>
    <col min="1" max="1" width="2" hidden="1" customWidth="1"/>
    <col min="2" max="2" width="2" customWidth="1"/>
    <col min="3" max="3" width="7.6640625" customWidth="1"/>
    <col min="4" max="4" width="13.6640625" customWidth="1"/>
    <col min="5" max="5" width="19.44140625" customWidth="1"/>
    <col min="6" max="6" width="34.77734375" customWidth="1"/>
    <col min="7" max="7" width="9.109375" customWidth="1"/>
    <col min="8" max="8" width="10" customWidth="1"/>
    <col min="9" max="10" width="14.5546875" customWidth="1"/>
    <col min="11" max="11" width="14.5546875" hidden="1" customWidth="1"/>
    <col min="12" max="12" width="16" customWidth="1"/>
    <col min="13" max="13" width="16.77734375" customWidth="1"/>
    <col min="14" max="15" width="14.5546875" customWidth="1"/>
    <col min="16" max="16" width="16.5546875" customWidth="1"/>
    <col min="17" max="18" width="14.21875" customWidth="1"/>
    <col min="19" max="20" width="8.88671875" customWidth="1"/>
    <col min="21" max="22" width="14.21875" customWidth="1"/>
    <col min="23" max="23" width="16.77734375" customWidth="1"/>
    <col min="24" max="24" width="14.21875" customWidth="1"/>
  </cols>
  <sheetData>
    <row r="1" spans="1:25" ht="12.75" hidden="1" customHeight="1">
      <c r="C1" t="s">
        <v>172</v>
      </c>
      <c r="D1" t="s">
        <v>226</v>
      </c>
      <c r="E1" t="s">
        <v>227</v>
      </c>
      <c r="F1" t="s">
        <v>173</v>
      </c>
      <c r="G1" t="s">
        <v>228</v>
      </c>
      <c r="H1" t="s">
        <v>206</v>
      </c>
      <c r="I1" t="s">
        <v>207</v>
      </c>
      <c r="J1" t="s">
        <v>176</v>
      </c>
      <c r="K1" t="s">
        <v>229</v>
      </c>
      <c r="L1" t="s">
        <v>230</v>
      </c>
      <c r="M1" t="s">
        <v>177</v>
      </c>
      <c r="N1" t="s">
        <v>208</v>
      </c>
      <c r="O1" t="s">
        <v>178</v>
      </c>
      <c r="P1" t="s">
        <v>231</v>
      </c>
      <c r="Q1" t="s">
        <v>232</v>
      </c>
      <c r="R1" t="s">
        <v>233</v>
      </c>
      <c r="S1" t="s">
        <v>234</v>
      </c>
      <c r="T1" t="s">
        <v>235</v>
      </c>
      <c r="U1" t="s">
        <v>236</v>
      </c>
      <c r="V1" t="s">
        <v>237</v>
      </c>
      <c r="W1" t="s">
        <v>238</v>
      </c>
      <c r="X1" t="s">
        <v>239</v>
      </c>
      <c r="Y1" t="s">
        <v>240</v>
      </c>
    </row>
    <row r="2" spans="1:25" ht="12.75" customHeight="1"/>
    <row r="3" spans="1:25" ht="12.75" customHeight="1"/>
    <row r="4" spans="1:25" ht="12.75" customHeight="1"/>
    <row r="5" spans="1:25" ht="12.75" customHeight="1"/>
    <row r="6" spans="1:25" ht="12.75" customHeight="1">
      <c r="C6" s="30"/>
      <c r="D6" s="30"/>
      <c r="E6" s="30"/>
      <c r="F6" s="30"/>
      <c r="G6" s="30"/>
      <c r="H6" s="30"/>
      <c r="I6" s="30"/>
      <c r="J6" s="30"/>
      <c r="K6" s="30"/>
      <c r="L6" s="30"/>
      <c r="M6" s="30"/>
      <c r="N6" s="30"/>
      <c r="O6" s="30"/>
      <c r="P6" s="30"/>
      <c r="Q6" s="30"/>
      <c r="R6" s="30"/>
      <c r="S6" s="30"/>
      <c r="T6" s="30"/>
      <c r="U6" s="30"/>
      <c r="V6" s="30"/>
      <c r="W6" s="30"/>
      <c r="X6" s="30"/>
    </row>
    <row r="7" spans="1:25" ht="12.75" customHeight="1">
      <c r="C7" t="s">
        <v>222</v>
      </c>
    </row>
    <row r="8" spans="1:25" ht="12.75" customHeight="1"/>
    <row r="9" spans="1:25" ht="30" customHeight="1">
      <c r="C9" s="29" t="s">
        <v>23</v>
      </c>
      <c r="D9" s="29" t="s">
        <v>51</v>
      </c>
      <c r="E9" s="29" t="s">
        <v>52</v>
      </c>
      <c r="F9" s="29" t="s">
        <v>53</v>
      </c>
      <c r="G9" s="29" t="s">
        <v>54</v>
      </c>
      <c r="H9" s="29" t="s">
        <v>50</v>
      </c>
      <c r="I9" s="29" t="str">
        <f>"List Price
("&amp;QF_SYS_LISTPRICECURRENCY&amp;")"</f>
        <v>List Price
(USD)</v>
      </c>
      <c r="J9" s="29" t="str">
        <f>"Total List Price
("&amp;QF_SYS_LISTPRICECURRENCY&amp;")"</f>
        <v>Total List Price
(USD)</v>
      </c>
      <c r="K9" s="31" t="s">
        <v>25</v>
      </c>
      <c r="L9" s="29" t="s">
        <v>26</v>
      </c>
      <c r="M9" s="29" t="s">
        <v>12</v>
      </c>
      <c r="N9" s="29" t="str">
        <f>IF(QuoteType="Embedded","Unit Price
("&amp;QF_SYS_CURRENCY1&amp;IF(QF_SYS_TRADETERMDESC1="","",IF(QF_SYS_CURRENCY1="",""," "))&amp;QF_SYS_TRADETERMDESC1&amp;IF(QF_SYS_DESTINATION1="","",IF(QF_SYS_TRADETERMDESC1="",IF(QF_SYS_CURRENCY1="",""," ")," "))&amp;QF_SYS_DESTINATION1&amp;")","Unit Price
("&amp;QF_SYS_CURRENCY1&amp;")")</f>
        <v>Unit Price
(USD FOB HONGKONG_Hong Kong SAR China)</v>
      </c>
      <c r="O9" s="29" t="str">
        <f>IF(QuoteType="Embedded", "Total Price
("&amp;QF_SYS_CURRENCY1&amp;IF(QF_SYS_TRADETERMDESC1="","",IF(QF_SYS_CURRENCY1="",""," "))&amp;QF_SYS_TRADETERMDESC1&amp;IF(QF_SYS_DESTINATION1="","",IF(QF_SYS_TRADETERMDESC1="",IF(QF_SYS_CURRENCY1="",""," ")," "))&amp;QF_SYS_DESTINATION1&amp;")","Total Price
("&amp;QF_SYS_CURRENCY1&amp;")")</f>
        <v>Total Price
(USD FOB HONGKONG_Hong Kong SAR China)</v>
      </c>
      <c r="P9" s="29" t="s">
        <v>55</v>
      </c>
      <c r="Q9" s="29" t="s">
        <v>56</v>
      </c>
      <c r="R9" s="29" t="s">
        <v>57</v>
      </c>
      <c r="S9" s="29" t="s">
        <v>58</v>
      </c>
      <c r="T9" s="29" t="s">
        <v>59</v>
      </c>
      <c r="U9" s="29" t="s">
        <v>60</v>
      </c>
      <c r="V9" s="29" t="s">
        <v>61</v>
      </c>
      <c r="W9" s="29" t="s">
        <v>62</v>
      </c>
      <c r="X9" s="29" t="s">
        <v>63</v>
      </c>
      <c r="Y9" s="74" t="s">
        <v>64</v>
      </c>
    </row>
    <row r="10" spans="1:25" ht="13.2">
      <c r="A10" t="s">
        <v>241</v>
      </c>
      <c r="C10" s="32"/>
      <c r="D10" s="140" t="s">
        <v>65</v>
      </c>
      <c r="E10" s="140"/>
      <c r="F10" s="141"/>
      <c r="G10" s="76"/>
      <c r="H10" s="77"/>
      <c r="I10" s="39"/>
      <c r="J10" s="39"/>
      <c r="K10" s="81"/>
      <c r="L10" s="81"/>
      <c r="M10" s="41"/>
      <c r="N10" s="39"/>
      <c r="O10" s="39"/>
      <c r="P10" s="87"/>
      <c r="Q10" s="91"/>
      <c r="R10" s="91"/>
      <c r="S10" s="95"/>
      <c r="T10" s="95"/>
      <c r="U10" s="99"/>
      <c r="V10" s="103"/>
      <c r="W10" s="95"/>
      <c r="X10" s="107"/>
      <c r="Y10" s="111"/>
    </row>
    <row r="11" spans="1:25" ht="13.2">
      <c r="A11" t="s">
        <v>242</v>
      </c>
      <c r="C11" s="62" t="s">
        <v>198</v>
      </c>
      <c r="D11" s="142" t="s">
        <v>48</v>
      </c>
      <c r="E11" s="142" t="s">
        <v>48</v>
      </c>
      <c r="F11" s="143"/>
      <c r="G11" s="66"/>
      <c r="H11" s="78">
        <v>3</v>
      </c>
      <c r="I11" s="68">
        <f>IF(OR(H11="",J11=""),"",J11/IF(H11=0,1,H11))</f>
        <v>2865402</v>
      </c>
      <c r="J11" s="68">
        <f>J12+J29+J36+J44+J46</f>
        <v>8596206</v>
      </c>
      <c r="K11" s="82"/>
      <c r="L11" s="82"/>
      <c r="M11" s="85"/>
      <c r="N11" s="68">
        <f>IF(OR(H11="",O11=""),"",O11/IF(H11=0,1,H11))</f>
        <v>583361.96000000008</v>
      </c>
      <c r="O11" s="68">
        <f>O12+O29+O36+O44+O46</f>
        <v>1750085.8800000001</v>
      </c>
      <c r="P11" s="88"/>
      <c r="Q11" s="92" t="s">
        <v>117</v>
      </c>
      <c r="R11" s="92" t="s">
        <v>123</v>
      </c>
      <c r="S11" s="96"/>
      <c r="T11" s="96"/>
      <c r="U11" s="100"/>
      <c r="V11" s="104"/>
      <c r="W11" s="96"/>
      <c r="X11" s="108"/>
      <c r="Y11" s="111"/>
    </row>
    <row r="12" spans="1:25" ht="13.2" outlineLevel="1">
      <c r="A12" t="s">
        <v>243</v>
      </c>
      <c r="C12" s="61" t="s">
        <v>200</v>
      </c>
      <c r="D12" s="144" t="s">
        <v>66</v>
      </c>
      <c r="E12" s="144" t="s">
        <v>66</v>
      </c>
      <c r="F12" s="145"/>
      <c r="G12" s="64"/>
      <c r="H12" s="79"/>
      <c r="I12" s="67"/>
      <c r="J12" s="67">
        <f>SUBTOTAL(9,J15:J28)</f>
        <v>2537268</v>
      </c>
      <c r="K12" s="83"/>
      <c r="L12" s="83"/>
      <c r="M12" s="86"/>
      <c r="N12" s="67"/>
      <c r="O12" s="67">
        <f>SUBTOTAL(9,O15:O28)</f>
        <v>507453.6</v>
      </c>
      <c r="P12" s="89"/>
      <c r="Q12" s="93"/>
      <c r="R12" s="93"/>
      <c r="S12" s="97"/>
      <c r="T12" s="97"/>
      <c r="U12" s="101"/>
      <c r="V12" s="105"/>
      <c r="W12" s="97"/>
      <c r="X12" s="109"/>
      <c r="Y12" s="111"/>
    </row>
    <row r="13" spans="1:25" ht="13.2" outlineLevel="2">
      <c r="A13" t="s">
        <v>244</v>
      </c>
      <c r="C13" s="32" t="s">
        <v>245</v>
      </c>
      <c r="D13" s="140" t="s">
        <v>67</v>
      </c>
      <c r="E13" s="140" t="s">
        <v>67</v>
      </c>
      <c r="F13" s="141"/>
      <c r="G13" s="76"/>
      <c r="H13" s="77"/>
      <c r="I13" s="39"/>
      <c r="J13" s="39">
        <f>SUBTOTAL(9,J15:J20)</f>
        <v>1268634</v>
      </c>
      <c r="K13" s="81"/>
      <c r="L13" s="81"/>
      <c r="M13" s="41"/>
      <c r="N13" s="39"/>
      <c r="O13" s="39">
        <f>SUBTOTAL(9,O15:O20)</f>
        <v>253726.8</v>
      </c>
      <c r="P13" s="87"/>
      <c r="Q13" s="91"/>
      <c r="R13" s="91"/>
      <c r="S13" s="95"/>
      <c r="T13" s="95"/>
      <c r="U13" s="99"/>
      <c r="V13" s="103"/>
      <c r="W13" s="95"/>
      <c r="X13" s="107"/>
      <c r="Y13" s="111"/>
    </row>
    <row r="14" spans="1:25" ht="13.2" outlineLevel="3">
      <c r="A14" t="s">
        <v>246</v>
      </c>
      <c r="C14" s="32"/>
      <c r="D14" s="140" t="s">
        <v>68</v>
      </c>
      <c r="E14" s="140" t="s">
        <v>68</v>
      </c>
      <c r="F14" s="141"/>
      <c r="G14" s="76"/>
      <c r="H14" s="77"/>
      <c r="I14" s="39"/>
      <c r="J14" s="39"/>
      <c r="K14" s="81"/>
      <c r="L14" s="81"/>
      <c r="M14" s="41"/>
      <c r="N14" s="39"/>
      <c r="O14" s="39"/>
      <c r="P14" s="87"/>
      <c r="Q14" s="91"/>
      <c r="R14" s="91"/>
      <c r="S14" s="95"/>
      <c r="T14" s="95"/>
      <c r="U14" s="99"/>
      <c r="V14" s="103"/>
      <c r="W14" s="95"/>
      <c r="X14" s="107"/>
      <c r="Y14" s="111"/>
    </row>
    <row r="15" spans="1:25" ht="34.200000000000003" outlineLevel="3">
      <c r="A15" t="s">
        <v>247</v>
      </c>
      <c r="C15" s="33"/>
      <c r="D15" s="75" t="s">
        <v>69</v>
      </c>
      <c r="E15" s="52" t="s">
        <v>93</v>
      </c>
      <c r="F15" s="52" t="s">
        <v>105</v>
      </c>
      <c r="G15" s="65">
        <v>1</v>
      </c>
      <c r="H15" s="80">
        <f>G15*H11</f>
        <v>3</v>
      </c>
      <c r="I15" s="40">
        <v>150000</v>
      </c>
      <c r="J15" s="40">
        <f>I15*H15</f>
        <v>450000</v>
      </c>
      <c r="K15" s="84">
        <f>ROUND(Discount!F36,10)</f>
        <v>0.2</v>
      </c>
      <c r="L15" s="84">
        <f>1-ROUND(Discount!F36,10)</f>
        <v>0.8</v>
      </c>
      <c r="M15" s="42">
        <f>PHUAWEIHW1</f>
        <v>1</v>
      </c>
      <c r="N15" s="40">
        <f>ROUND(ROUND(ROUND(ROUND(I15*QF_SYS_EXCHANGE1,8)*ROUND(Discount!F36,10),8)*PHUAWEIHW1,8),2)</f>
        <v>30000</v>
      </c>
      <c r="O15" s="40">
        <f>N15*H15</f>
        <v>90000</v>
      </c>
      <c r="P15" s="90" t="s">
        <v>29</v>
      </c>
      <c r="Q15" s="94" t="s">
        <v>118</v>
      </c>
      <c r="R15" s="94" t="s">
        <v>123</v>
      </c>
      <c r="S15" s="98">
        <v>48.2</v>
      </c>
      <c r="T15" s="98">
        <v>0.25</v>
      </c>
      <c r="U15" s="102" t="s">
        <v>128</v>
      </c>
      <c r="V15" s="106" t="s">
        <v>134</v>
      </c>
      <c r="W15" s="98">
        <v>392.44</v>
      </c>
      <c r="X15" s="110" t="s">
        <v>141</v>
      </c>
      <c r="Y15" s="111"/>
    </row>
    <row r="16" spans="1:25" ht="13.2" outlineLevel="3">
      <c r="A16" t="s">
        <v>248</v>
      </c>
      <c r="C16" s="32"/>
      <c r="D16" s="140" t="s">
        <v>70</v>
      </c>
      <c r="E16" s="140" t="s">
        <v>70</v>
      </c>
      <c r="F16" s="141"/>
      <c r="G16" s="76"/>
      <c r="H16" s="77"/>
      <c r="I16" s="39"/>
      <c r="J16" s="39"/>
      <c r="K16" s="81"/>
      <c r="L16" s="81"/>
      <c r="M16" s="41"/>
      <c r="N16" s="39"/>
      <c r="O16" s="39"/>
      <c r="P16" s="87"/>
      <c r="Q16" s="91"/>
      <c r="R16" s="91"/>
      <c r="S16" s="95"/>
      <c r="T16" s="95"/>
      <c r="U16" s="99"/>
      <c r="V16" s="103"/>
      <c r="W16" s="95"/>
      <c r="X16" s="107"/>
      <c r="Y16" s="111"/>
    </row>
    <row r="17" spans="1:25" ht="22.8" outlineLevel="3">
      <c r="A17" t="s">
        <v>249</v>
      </c>
      <c r="C17" s="33"/>
      <c r="D17" s="75" t="s">
        <v>71</v>
      </c>
      <c r="E17" s="52" t="s">
        <v>94</v>
      </c>
      <c r="F17" s="52" t="s">
        <v>106</v>
      </c>
      <c r="G17" s="65">
        <v>2</v>
      </c>
      <c r="H17" s="80">
        <f>G17*H11</f>
        <v>6</v>
      </c>
      <c r="I17" s="40">
        <v>9964</v>
      </c>
      <c r="J17" s="40">
        <f>I17*H17</f>
        <v>59784</v>
      </c>
      <c r="K17" s="84">
        <f>ROUND(Discount!F36,10)</f>
        <v>0.2</v>
      </c>
      <c r="L17" s="84">
        <f>1-ROUND(Discount!F36,10)</f>
        <v>0.8</v>
      </c>
      <c r="M17" s="42">
        <f>PHUAWEIHW1</f>
        <v>1</v>
      </c>
      <c r="N17" s="40">
        <f>ROUND(ROUND(ROUND(ROUND(I17*QF_SYS_EXCHANGE1,8)*ROUND(Discount!F36,10),8)*PHUAWEIHW1,8),2)</f>
        <v>1992.8</v>
      </c>
      <c r="O17" s="40">
        <f>N17*H17</f>
        <v>11956.8</v>
      </c>
      <c r="P17" s="90" t="s">
        <v>29</v>
      </c>
      <c r="Q17" s="94" t="s">
        <v>118</v>
      </c>
      <c r="R17" s="94" t="s">
        <v>123</v>
      </c>
      <c r="S17" s="98">
        <v>0.6</v>
      </c>
      <c r="T17" s="98">
        <v>5.744E-3</v>
      </c>
      <c r="U17" s="102" t="s">
        <v>129</v>
      </c>
      <c r="V17" s="106" t="s">
        <v>135</v>
      </c>
      <c r="W17" s="98">
        <v>27.8</v>
      </c>
      <c r="X17" s="110" t="s">
        <v>141</v>
      </c>
      <c r="Y17" s="111"/>
    </row>
    <row r="18" spans="1:25" ht="22.8" outlineLevel="3">
      <c r="A18" t="s">
        <v>250</v>
      </c>
      <c r="C18" s="33"/>
      <c r="D18" s="75" t="s">
        <v>72</v>
      </c>
      <c r="E18" s="52" t="s">
        <v>95</v>
      </c>
      <c r="F18" s="52" t="s">
        <v>107</v>
      </c>
      <c r="G18" s="65">
        <v>2</v>
      </c>
      <c r="H18" s="80">
        <f>G18*H11</f>
        <v>6</v>
      </c>
      <c r="I18" s="40">
        <v>2520</v>
      </c>
      <c r="J18" s="40">
        <f>I18*H18</f>
        <v>15120</v>
      </c>
      <c r="K18" s="84">
        <f>ROUND(Discount!F36,10)</f>
        <v>0.2</v>
      </c>
      <c r="L18" s="84">
        <f>1-ROUND(Discount!F36,10)</f>
        <v>0.8</v>
      </c>
      <c r="M18" s="42">
        <f>PHUAWEIHW1</f>
        <v>1</v>
      </c>
      <c r="N18" s="40">
        <f>ROUND(ROUND(ROUND(ROUND(I18*QF_SYS_EXCHANGE1,8)*ROUND(Discount!F36,10),8)*PHUAWEIHW1,8),2)</f>
        <v>504</v>
      </c>
      <c r="O18" s="40">
        <f>N18*H18</f>
        <v>3024</v>
      </c>
      <c r="P18" s="90" t="s">
        <v>29</v>
      </c>
      <c r="Q18" s="94" t="s">
        <v>118</v>
      </c>
      <c r="R18" s="94" t="s">
        <v>123</v>
      </c>
      <c r="S18" s="98">
        <v>0.6</v>
      </c>
      <c r="T18" s="98">
        <v>5.744E-3</v>
      </c>
      <c r="U18" s="102" t="s">
        <v>129</v>
      </c>
      <c r="V18" s="106" t="s">
        <v>135</v>
      </c>
      <c r="W18" s="98">
        <v>27.8</v>
      </c>
      <c r="X18" s="110" t="s">
        <v>141</v>
      </c>
      <c r="Y18" s="111"/>
    </row>
    <row r="19" spans="1:25" ht="13.2" outlineLevel="3">
      <c r="A19" t="s">
        <v>251</v>
      </c>
      <c r="C19" s="32"/>
      <c r="D19" s="140" t="s">
        <v>73</v>
      </c>
      <c r="E19" s="140" t="s">
        <v>73</v>
      </c>
      <c r="F19" s="141"/>
      <c r="G19" s="76"/>
      <c r="H19" s="77"/>
      <c r="I19" s="39"/>
      <c r="J19" s="39"/>
      <c r="K19" s="81"/>
      <c r="L19" s="81"/>
      <c r="M19" s="41"/>
      <c r="N19" s="39"/>
      <c r="O19" s="39"/>
      <c r="P19" s="87"/>
      <c r="Q19" s="91"/>
      <c r="R19" s="91"/>
      <c r="S19" s="95"/>
      <c r="T19" s="95"/>
      <c r="U19" s="99"/>
      <c r="V19" s="103"/>
      <c r="W19" s="95"/>
      <c r="X19" s="107"/>
      <c r="Y19" s="111"/>
    </row>
    <row r="20" spans="1:25" ht="13.2" outlineLevel="3">
      <c r="A20" t="s">
        <v>252</v>
      </c>
      <c r="C20" s="33"/>
      <c r="D20" s="75" t="s">
        <v>74</v>
      </c>
      <c r="E20" s="52" t="s">
        <v>96</v>
      </c>
      <c r="F20" s="52" t="s">
        <v>108</v>
      </c>
      <c r="G20" s="65">
        <v>13</v>
      </c>
      <c r="H20" s="80">
        <f>G20*H11</f>
        <v>39</v>
      </c>
      <c r="I20" s="40">
        <v>19070</v>
      </c>
      <c r="J20" s="40">
        <f>I20*H20</f>
        <v>743730</v>
      </c>
      <c r="K20" s="84">
        <f>ROUND(Discount!F36,10)</f>
        <v>0.2</v>
      </c>
      <c r="L20" s="84">
        <f>1-ROUND(Discount!F36,10)</f>
        <v>0.8</v>
      </c>
      <c r="M20" s="42">
        <f>PHUAWEIHW1</f>
        <v>1</v>
      </c>
      <c r="N20" s="40">
        <f>ROUND(ROUND(ROUND(ROUND(I20*QF_SYS_EXCHANGE1,8)*ROUND(Discount!F36,10),8)*PHUAWEIHW1,8),2)</f>
        <v>3814</v>
      </c>
      <c r="O20" s="40">
        <f>N20*H20</f>
        <v>148746</v>
      </c>
      <c r="P20" s="90" t="s">
        <v>29</v>
      </c>
      <c r="Q20" s="94" t="s">
        <v>119</v>
      </c>
      <c r="R20" s="94" t="s">
        <v>124</v>
      </c>
      <c r="S20" s="98"/>
      <c r="T20" s="98"/>
      <c r="U20" s="102"/>
      <c r="V20" s="106" t="s">
        <v>136</v>
      </c>
      <c r="W20" s="98">
        <v>4.5</v>
      </c>
      <c r="X20" s="110" t="s">
        <v>141</v>
      </c>
      <c r="Y20" s="111"/>
    </row>
    <row r="21" spans="1:25" ht="13.2" outlineLevel="2">
      <c r="A21" t="s">
        <v>253</v>
      </c>
      <c r="C21" s="32" t="s">
        <v>254</v>
      </c>
      <c r="D21" s="140" t="s">
        <v>75</v>
      </c>
      <c r="E21" s="140" t="s">
        <v>75</v>
      </c>
      <c r="F21" s="141"/>
      <c r="G21" s="76"/>
      <c r="H21" s="77"/>
      <c r="I21" s="39"/>
      <c r="J21" s="39">
        <f>SUBTOTAL(9,J23:J28)</f>
        <v>1268634</v>
      </c>
      <c r="K21" s="81"/>
      <c r="L21" s="81"/>
      <c r="M21" s="41"/>
      <c r="N21" s="39"/>
      <c r="O21" s="39">
        <f>SUBTOTAL(9,O23:O28)</f>
        <v>253726.8</v>
      </c>
      <c r="P21" s="87"/>
      <c r="Q21" s="91"/>
      <c r="R21" s="91"/>
      <c r="S21" s="95"/>
      <c r="T21" s="95"/>
      <c r="U21" s="99"/>
      <c r="V21" s="103"/>
      <c r="W21" s="95"/>
      <c r="X21" s="107"/>
      <c r="Y21" s="111"/>
    </row>
    <row r="22" spans="1:25" ht="13.2" outlineLevel="3">
      <c r="A22" t="s">
        <v>255</v>
      </c>
      <c r="C22" s="32"/>
      <c r="D22" s="140" t="s">
        <v>68</v>
      </c>
      <c r="E22" s="140" t="s">
        <v>68</v>
      </c>
      <c r="F22" s="141"/>
      <c r="G22" s="76"/>
      <c r="H22" s="77"/>
      <c r="I22" s="39"/>
      <c r="J22" s="39"/>
      <c r="K22" s="81"/>
      <c r="L22" s="81"/>
      <c r="M22" s="41"/>
      <c r="N22" s="39"/>
      <c r="O22" s="39"/>
      <c r="P22" s="87"/>
      <c r="Q22" s="91"/>
      <c r="R22" s="91"/>
      <c r="S22" s="95"/>
      <c r="T22" s="95"/>
      <c r="U22" s="99"/>
      <c r="V22" s="103"/>
      <c r="W22" s="95"/>
      <c r="X22" s="107"/>
      <c r="Y22" s="111"/>
    </row>
    <row r="23" spans="1:25" ht="34.200000000000003" outlineLevel="3">
      <c r="A23" t="s">
        <v>256</v>
      </c>
      <c r="C23" s="33"/>
      <c r="D23" s="75" t="s">
        <v>69</v>
      </c>
      <c r="E23" s="52" t="s">
        <v>93</v>
      </c>
      <c r="F23" s="52" t="s">
        <v>105</v>
      </c>
      <c r="G23" s="65">
        <v>1</v>
      </c>
      <c r="H23" s="80">
        <f>G23*H11</f>
        <v>3</v>
      </c>
      <c r="I23" s="40">
        <v>150000</v>
      </c>
      <c r="J23" s="40">
        <f>I23*H23</f>
        <v>450000</v>
      </c>
      <c r="K23" s="84">
        <f>ROUND(Discount!F36,10)</f>
        <v>0.2</v>
      </c>
      <c r="L23" s="84">
        <f>1-ROUND(Discount!F36,10)</f>
        <v>0.8</v>
      </c>
      <c r="M23" s="42">
        <f>PHUAWEIHW1</f>
        <v>1</v>
      </c>
      <c r="N23" s="40">
        <f>ROUND(ROUND(ROUND(ROUND(I23*QF_SYS_EXCHANGE1,8)*ROUND(Discount!F36,10),8)*PHUAWEIHW1,8),2)</f>
        <v>30000</v>
      </c>
      <c r="O23" s="40">
        <f>N23*H23</f>
        <v>90000</v>
      </c>
      <c r="P23" s="90" t="s">
        <v>29</v>
      </c>
      <c r="Q23" s="94" t="s">
        <v>118</v>
      </c>
      <c r="R23" s="94" t="s">
        <v>123</v>
      </c>
      <c r="S23" s="98">
        <v>48.2</v>
      </c>
      <c r="T23" s="98">
        <v>0.25</v>
      </c>
      <c r="U23" s="102" t="s">
        <v>128</v>
      </c>
      <c r="V23" s="106" t="s">
        <v>134</v>
      </c>
      <c r="W23" s="98">
        <v>392.44</v>
      </c>
      <c r="X23" s="110" t="s">
        <v>141</v>
      </c>
      <c r="Y23" s="111"/>
    </row>
    <row r="24" spans="1:25" ht="13.2" outlineLevel="3">
      <c r="A24" t="s">
        <v>257</v>
      </c>
      <c r="C24" s="32"/>
      <c r="D24" s="140" t="s">
        <v>70</v>
      </c>
      <c r="E24" s="140" t="s">
        <v>70</v>
      </c>
      <c r="F24" s="141"/>
      <c r="G24" s="76"/>
      <c r="H24" s="77"/>
      <c r="I24" s="39"/>
      <c r="J24" s="39"/>
      <c r="K24" s="81"/>
      <c r="L24" s="81"/>
      <c r="M24" s="41"/>
      <c r="N24" s="39"/>
      <c r="O24" s="39"/>
      <c r="P24" s="87"/>
      <c r="Q24" s="91"/>
      <c r="R24" s="91"/>
      <c r="S24" s="95"/>
      <c r="T24" s="95"/>
      <c r="U24" s="99"/>
      <c r="V24" s="103"/>
      <c r="W24" s="95"/>
      <c r="X24" s="107"/>
      <c r="Y24" s="111"/>
    </row>
    <row r="25" spans="1:25" ht="22.8" outlineLevel="3">
      <c r="A25" t="s">
        <v>258</v>
      </c>
      <c r="C25" s="33"/>
      <c r="D25" s="75" t="s">
        <v>71</v>
      </c>
      <c r="E25" s="52" t="s">
        <v>94</v>
      </c>
      <c r="F25" s="52" t="s">
        <v>106</v>
      </c>
      <c r="G25" s="65">
        <v>2</v>
      </c>
      <c r="H25" s="80">
        <f>G25*H11</f>
        <v>6</v>
      </c>
      <c r="I25" s="40">
        <v>9964</v>
      </c>
      <c r="J25" s="40">
        <f>I25*H25</f>
        <v>59784</v>
      </c>
      <c r="K25" s="84">
        <f>ROUND(Discount!F36,10)</f>
        <v>0.2</v>
      </c>
      <c r="L25" s="84">
        <f>1-ROUND(Discount!F36,10)</f>
        <v>0.8</v>
      </c>
      <c r="M25" s="42">
        <f>PHUAWEIHW1</f>
        <v>1</v>
      </c>
      <c r="N25" s="40">
        <f>ROUND(ROUND(ROUND(ROUND(I25*QF_SYS_EXCHANGE1,8)*ROUND(Discount!F36,10),8)*PHUAWEIHW1,8),2)</f>
        <v>1992.8</v>
      </c>
      <c r="O25" s="40">
        <f>N25*H25</f>
        <v>11956.8</v>
      </c>
      <c r="P25" s="90" t="s">
        <v>29</v>
      </c>
      <c r="Q25" s="94" t="s">
        <v>118</v>
      </c>
      <c r="R25" s="94" t="s">
        <v>123</v>
      </c>
      <c r="S25" s="98">
        <v>0.6</v>
      </c>
      <c r="T25" s="98">
        <v>5.744E-3</v>
      </c>
      <c r="U25" s="102" t="s">
        <v>129</v>
      </c>
      <c r="V25" s="106" t="s">
        <v>135</v>
      </c>
      <c r="W25" s="98">
        <v>27.8</v>
      </c>
      <c r="X25" s="110" t="s">
        <v>141</v>
      </c>
      <c r="Y25" s="111"/>
    </row>
    <row r="26" spans="1:25" ht="22.8" outlineLevel="3">
      <c r="A26" t="s">
        <v>259</v>
      </c>
      <c r="C26" s="33"/>
      <c r="D26" s="75" t="s">
        <v>72</v>
      </c>
      <c r="E26" s="52" t="s">
        <v>95</v>
      </c>
      <c r="F26" s="52" t="s">
        <v>107</v>
      </c>
      <c r="G26" s="65">
        <v>2</v>
      </c>
      <c r="H26" s="80">
        <f>G26*H11</f>
        <v>6</v>
      </c>
      <c r="I26" s="40">
        <v>2520</v>
      </c>
      <c r="J26" s="40">
        <f>I26*H26</f>
        <v>15120</v>
      </c>
      <c r="K26" s="84">
        <f>ROUND(Discount!F36,10)</f>
        <v>0.2</v>
      </c>
      <c r="L26" s="84">
        <f>1-ROUND(Discount!F36,10)</f>
        <v>0.8</v>
      </c>
      <c r="M26" s="42">
        <f>PHUAWEIHW1</f>
        <v>1</v>
      </c>
      <c r="N26" s="40">
        <f>ROUND(ROUND(ROUND(ROUND(I26*QF_SYS_EXCHANGE1,8)*ROUND(Discount!F36,10),8)*PHUAWEIHW1,8),2)</f>
        <v>504</v>
      </c>
      <c r="O26" s="40">
        <f>N26*H26</f>
        <v>3024</v>
      </c>
      <c r="P26" s="90" t="s">
        <v>29</v>
      </c>
      <c r="Q26" s="94" t="s">
        <v>118</v>
      </c>
      <c r="R26" s="94" t="s">
        <v>123</v>
      </c>
      <c r="S26" s="98">
        <v>0.6</v>
      </c>
      <c r="T26" s="98">
        <v>5.744E-3</v>
      </c>
      <c r="U26" s="102" t="s">
        <v>129</v>
      </c>
      <c r="V26" s="106" t="s">
        <v>135</v>
      </c>
      <c r="W26" s="98">
        <v>27.8</v>
      </c>
      <c r="X26" s="110" t="s">
        <v>141</v>
      </c>
      <c r="Y26" s="111"/>
    </row>
    <row r="27" spans="1:25" ht="13.2" outlineLevel="3">
      <c r="A27" t="s">
        <v>260</v>
      </c>
      <c r="C27" s="32"/>
      <c r="D27" s="140" t="s">
        <v>73</v>
      </c>
      <c r="E27" s="140" t="s">
        <v>73</v>
      </c>
      <c r="F27" s="141"/>
      <c r="G27" s="76"/>
      <c r="H27" s="77"/>
      <c r="I27" s="39"/>
      <c r="J27" s="39"/>
      <c r="K27" s="81"/>
      <c r="L27" s="81"/>
      <c r="M27" s="41"/>
      <c r="N27" s="39"/>
      <c r="O27" s="39"/>
      <c r="P27" s="87"/>
      <c r="Q27" s="91"/>
      <c r="R27" s="91"/>
      <c r="S27" s="95"/>
      <c r="T27" s="95"/>
      <c r="U27" s="99"/>
      <c r="V27" s="103"/>
      <c r="W27" s="95"/>
      <c r="X27" s="107"/>
      <c r="Y27" s="111"/>
    </row>
    <row r="28" spans="1:25" ht="13.2" outlineLevel="3">
      <c r="A28" t="s">
        <v>261</v>
      </c>
      <c r="C28" s="33"/>
      <c r="D28" s="75" t="s">
        <v>74</v>
      </c>
      <c r="E28" s="52" t="s">
        <v>96</v>
      </c>
      <c r="F28" s="52" t="s">
        <v>108</v>
      </c>
      <c r="G28" s="65">
        <v>13</v>
      </c>
      <c r="H28" s="80">
        <f>G28*H11</f>
        <v>39</v>
      </c>
      <c r="I28" s="40">
        <v>19070</v>
      </c>
      <c r="J28" s="40">
        <f>I28*H28</f>
        <v>743730</v>
      </c>
      <c r="K28" s="84">
        <f>ROUND(Discount!F36,10)</f>
        <v>0.2</v>
      </c>
      <c r="L28" s="84">
        <f>1-ROUND(Discount!F36,10)</f>
        <v>0.8</v>
      </c>
      <c r="M28" s="42">
        <f>PHUAWEIHW1</f>
        <v>1</v>
      </c>
      <c r="N28" s="40">
        <f>ROUND(ROUND(ROUND(ROUND(I28*QF_SYS_EXCHANGE1,8)*ROUND(Discount!F36,10),8)*PHUAWEIHW1,8),2)</f>
        <v>3814</v>
      </c>
      <c r="O28" s="40">
        <f>N28*H28</f>
        <v>148746</v>
      </c>
      <c r="P28" s="90" t="s">
        <v>29</v>
      </c>
      <c r="Q28" s="94" t="s">
        <v>119</v>
      </c>
      <c r="R28" s="94" t="s">
        <v>124</v>
      </c>
      <c r="S28" s="98"/>
      <c r="T28" s="98"/>
      <c r="U28" s="102"/>
      <c r="V28" s="106" t="s">
        <v>136</v>
      </c>
      <c r="W28" s="98">
        <v>4.5</v>
      </c>
      <c r="X28" s="110" t="s">
        <v>141</v>
      </c>
      <c r="Y28" s="111"/>
    </row>
    <row r="29" spans="1:25" ht="13.2" outlineLevel="1">
      <c r="A29" t="s">
        <v>262</v>
      </c>
      <c r="C29" s="61" t="s">
        <v>263</v>
      </c>
      <c r="D29" s="144" t="s">
        <v>76</v>
      </c>
      <c r="E29" s="144" t="s">
        <v>76</v>
      </c>
      <c r="F29" s="145"/>
      <c r="G29" s="64"/>
      <c r="H29" s="79"/>
      <c r="I29" s="67"/>
      <c r="J29" s="67">
        <f>SUBTOTAL(9,J31:J35)</f>
        <v>5815548</v>
      </c>
      <c r="K29" s="83"/>
      <c r="L29" s="83"/>
      <c r="M29" s="86"/>
      <c r="N29" s="67"/>
      <c r="O29" s="67">
        <f>SUBTOTAL(9,O31:O35)</f>
        <v>1163109.6000000001</v>
      </c>
      <c r="P29" s="89"/>
      <c r="Q29" s="93"/>
      <c r="R29" s="93"/>
      <c r="S29" s="97"/>
      <c r="T29" s="97"/>
      <c r="U29" s="101"/>
      <c r="V29" s="105"/>
      <c r="W29" s="97"/>
      <c r="X29" s="109"/>
      <c r="Y29" s="111"/>
    </row>
    <row r="30" spans="1:25" ht="13.2" outlineLevel="2">
      <c r="A30" t="s">
        <v>264</v>
      </c>
      <c r="C30" s="32" t="s">
        <v>265</v>
      </c>
      <c r="D30" s="140" t="s">
        <v>77</v>
      </c>
      <c r="E30" s="140" t="s">
        <v>77</v>
      </c>
      <c r="F30" s="141"/>
      <c r="G30" s="76"/>
      <c r="H30" s="77"/>
      <c r="I30" s="39"/>
      <c r="J30" s="39">
        <f>SUBTOTAL(9,J31:J32)</f>
        <v>2907774</v>
      </c>
      <c r="K30" s="81"/>
      <c r="L30" s="81"/>
      <c r="M30" s="41"/>
      <c r="N30" s="39"/>
      <c r="O30" s="39">
        <f>SUBTOTAL(9,O31:O32)</f>
        <v>581554.80000000005</v>
      </c>
      <c r="P30" s="87"/>
      <c r="Q30" s="91"/>
      <c r="R30" s="91"/>
      <c r="S30" s="95"/>
      <c r="T30" s="95"/>
      <c r="U30" s="99"/>
      <c r="V30" s="103"/>
      <c r="W30" s="95"/>
      <c r="X30" s="107"/>
      <c r="Y30" s="111"/>
    </row>
    <row r="31" spans="1:25" ht="22.8" outlineLevel="3">
      <c r="A31" t="s">
        <v>266</v>
      </c>
      <c r="C31" s="33"/>
      <c r="D31" s="75" t="s">
        <v>78</v>
      </c>
      <c r="E31" s="52" t="s">
        <v>97</v>
      </c>
      <c r="F31" s="52" t="s">
        <v>109</v>
      </c>
      <c r="G31" s="65">
        <v>109</v>
      </c>
      <c r="H31" s="80">
        <f>G31*H11</f>
        <v>327</v>
      </c>
      <c r="I31" s="40">
        <v>8500</v>
      </c>
      <c r="J31" s="40">
        <f>I31*H31</f>
        <v>2779500</v>
      </c>
      <c r="K31" s="84">
        <f>ROUND(Discount!F36,10)</f>
        <v>0.2</v>
      </c>
      <c r="L31" s="84">
        <f>1-ROUND(Discount!F36,10)</f>
        <v>0.8</v>
      </c>
      <c r="M31" s="42">
        <f>PHUAWEIHW1</f>
        <v>1</v>
      </c>
      <c r="N31" s="40">
        <f>ROUND(ROUND(ROUND(ROUND(I31*QF_SYS_EXCHANGE1,8)*ROUND(Discount!F36,10),8)*PHUAWEIHW1,8),2)</f>
        <v>1700</v>
      </c>
      <c r="O31" s="40">
        <f>N31*H31</f>
        <v>555900</v>
      </c>
      <c r="P31" s="90" t="s">
        <v>29</v>
      </c>
      <c r="Q31" s="94" t="s">
        <v>117</v>
      </c>
      <c r="R31" s="94" t="s">
        <v>123</v>
      </c>
      <c r="S31" s="98">
        <v>1.2</v>
      </c>
      <c r="T31" s="98">
        <v>5.744E-3</v>
      </c>
      <c r="U31" s="102" t="s">
        <v>129</v>
      </c>
      <c r="V31" s="106" t="s">
        <v>137</v>
      </c>
      <c r="W31" s="98">
        <v>7.01</v>
      </c>
      <c r="X31" s="110" t="s">
        <v>142</v>
      </c>
      <c r="Y31" s="111"/>
    </row>
    <row r="32" spans="1:25" ht="45.6" outlineLevel="3">
      <c r="A32" t="s">
        <v>267</v>
      </c>
      <c r="C32" s="33"/>
      <c r="D32" s="75" t="s">
        <v>79</v>
      </c>
      <c r="E32" s="52" t="s">
        <v>98</v>
      </c>
      <c r="F32" s="52" t="s">
        <v>110</v>
      </c>
      <c r="G32" s="65">
        <v>2</v>
      </c>
      <c r="H32" s="80">
        <f>G32*H11</f>
        <v>6</v>
      </c>
      <c r="I32" s="40">
        <v>21379</v>
      </c>
      <c r="J32" s="40">
        <f>I32*H32</f>
        <v>128274</v>
      </c>
      <c r="K32" s="84">
        <f>ROUND(Discount!F36,10)</f>
        <v>0.2</v>
      </c>
      <c r="L32" s="84">
        <f>1-ROUND(Discount!F36,10)</f>
        <v>0.8</v>
      </c>
      <c r="M32" s="42">
        <f>PHUAWEIHW1</f>
        <v>1</v>
      </c>
      <c r="N32" s="40">
        <f>ROUND(ROUND(ROUND(ROUND(I32*QF_SYS_EXCHANGE1,8)*ROUND(Discount!F36,10),8)*PHUAWEIHW1,8),2)</f>
        <v>4275.8</v>
      </c>
      <c r="O32" s="40">
        <f>N32*H32</f>
        <v>25654.800000000003</v>
      </c>
      <c r="P32" s="90" t="s">
        <v>29</v>
      </c>
      <c r="Q32" s="94" t="s">
        <v>120</v>
      </c>
      <c r="R32" s="94" t="s">
        <v>125</v>
      </c>
      <c r="S32" s="98">
        <v>70</v>
      </c>
      <c r="T32" s="98">
        <v>0.48599999999999999</v>
      </c>
      <c r="U32" s="102" t="s">
        <v>130</v>
      </c>
      <c r="V32" s="106" t="s">
        <v>138</v>
      </c>
      <c r="W32" s="98">
        <v>216</v>
      </c>
      <c r="X32" s="110" t="s">
        <v>142</v>
      </c>
      <c r="Y32" s="111"/>
    </row>
    <row r="33" spans="1:25" ht="13.2" outlineLevel="2">
      <c r="A33" t="s">
        <v>268</v>
      </c>
      <c r="C33" s="32" t="s">
        <v>269</v>
      </c>
      <c r="D33" s="140" t="s">
        <v>80</v>
      </c>
      <c r="E33" s="140" t="s">
        <v>80</v>
      </c>
      <c r="F33" s="141"/>
      <c r="G33" s="76"/>
      <c r="H33" s="77"/>
      <c r="I33" s="39"/>
      <c r="J33" s="39">
        <f>SUBTOTAL(9,J34:J35)</f>
        <v>2907774</v>
      </c>
      <c r="K33" s="81"/>
      <c r="L33" s="81"/>
      <c r="M33" s="41"/>
      <c r="N33" s="39"/>
      <c r="O33" s="39">
        <f>SUBTOTAL(9,O34:O35)</f>
        <v>581554.80000000005</v>
      </c>
      <c r="P33" s="87"/>
      <c r="Q33" s="91"/>
      <c r="R33" s="91"/>
      <c r="S33" s="95"/>
      <c r="T33" s="95"/>
      <c r="U33" s="99"/>
      <c r="V33" s="103"/>
      <c r="W33" s="95"/>
      <c r="X33" s="107"/>
      <c r="Y33" s="111"/>
    </row>
    <row r="34" spans="1:25" ht="22.8" outlineLevel="3">
      <c r="A34" t="s">
        <v>270</v>
      </c>
      <c r="C34" s="33"/>
      <c r="D34" s="75" t="s">
        <v>78</v>
      </c>
      <c r="E34" s="52" t="s">
        <v>97</v>
      </c>
      <c r="F34" s="52" t="s">
        <v>109</v>
      </c>
      <c r="G34" s="65">
        <v>109</v>
      </c>
      <c r="H34" s="80">
        <f>G34*H11</f>
        <v>327</v>
      </c>
      <c r="I34" s="40">
        <v>8500</v>
      </c>
      <c r="J34" s="40">
        <f>I34*H34</f>
        <v>2779500</v>
      </c>
      <c r="K34" s="84">
        <f>ROUND(Discount!F36,10)</f>
        <v>0.2</v>
      </c>
      <c r="L34" s="84">
        <f>1-ROUND(Discount!F36,10)</f>
        <v>0.8</v>
      </c>
      <c r="M34" s="42">
        <f>PHUAWEIHW1</f>
        <v>1</v>
      </c>
      <c r="N34" s="40">
        <f>ROUND(ROUND(ROUND(ROUND(I34*QF_SYS_EXCHANGE1,8)*ROUND(Discount!F36,10),8)*PHUAWEIHW1,8),2)</f>
        <v>1700</v>
      </c>
      <c r="O34" s="40">
        <f>N34*H34</f>
        <v>555900</v>
      </c>
      <c r="P34" s="90" t="s">
        <v>29</v>
      </c>
      <c r="Q34" s="94" t="s">
        <v>117</v>
      </c>
      <c r="R34" s="94" t="s">
        <v>123</v>
      </c>
      <c r="S34" s="98">
        <v>1.2</v>
      </c>
      <c r="T34" s="98">
        <v>5.744E-3</v>
      </c>
      <c r="U34" s="102" t="s">
        <v>129</v>
      </c>
      <c r="V34" s="106" t="s">
        <v>137</v>
      </c>
      <c r="W34" s="98">
        <v>7.01</v>
      </c>
      <c r="X34" s="110" t="s">
        <v>142</v>
      </c>
      <c r="Y34" s="111"/>
    </row>
    <row r="35" spans="1:25" ht="45.6" outlineLevel="3">
      <c r="A35" t="s">
        <v>271</v>
      </c>
      <c r="C35" s="33"/>
      <c r="D35" s="75" t="s">
        <v>79</v>
      </c>
      <c r="E35" s="52" t="s">
        <v>98</v>
      </c>
      <c r="F35" s="52" t="s">
        <v>110</v>
      </c>
      <c r="G35" s="65">
        <v>2</v>
      </c>
      <c r="H35" s="80">
        <f>G35*H11</f>
        <v>6</v>
      </c>
      <c r="I35" s="40">
        <v>21379</v>
      </c>
      <c r="J35" s="40">
        <f>I35*H35</f>
        <v>128274</v>
      </c>
      <c r="K35" s="84">
        <f>ROUND(Discount!F36,10)</f>
        <v>0.2</v>
      </c>
      <c r="L35" s="84">
        <f>1-ROUND(Discount!F36,10)</f>
        <v>0.8</v>
      </c>
      <c r="M35" s="42">
        <f>PHUAWEIHW1</f>
        <v>1</v>
      </c>
      <c r="N35" s="40">
        <f>ROUND(ROUND(ROUND(ROUND(I35*QF_SYS_EXCHANGE1,8)*ROUND(Discount!F36,10),8)*PHUAWEIHW1,8),2)</f>
        <v>4275.8</v>
      </c>
      <c r="O35" s="40">
        <f>N35*H35</f>
        <v>25654.800000000003</v>
      </c>
      <c r="P35" s="90" t="s">
        <v>29</v>
      </c>
      <c r="Q35" s="94" t="s">
        <v>120</v>
      </c>
      <c r="R35" s="94" t="s">
        <v>125</v>
      </c>
      <c r="S35" s="98">
        <v>70</v>
      </c>
      <c r="T35" s="98">
        <v>0.48599999999999999</v>
      </c>
      <c r="U35" s="102" t="s">
        <v>130</v>
      </c>
      <c r="V35" s="106" t="s">
        <v>138</v>
      </c>
      <c r="W35" s="98">
        <v>216</v>
      </c>
      <c r="X35" s="110" t="s">
        <v>142</v>
      </c>
      <c r="Y35" s="111"/>
    </row>
    <row r="36" spans="1:25" ht="13.2" outlineLevel="1">
      <c r="A36" t="s">
        <v>272</v>
      </c>
      <c r="C36" s="61" t="s">
        <v>273</v>
      </c>
      <c r="D36" s="144" t="s">
        <v>81</v>
      </c>
      <c r="E36" s="144" t="s">
        <v>81</v>
      </c>
      <c r="F36" s="145"/>
      <c r="G36" s="64"/>
      <c r="H36" s="79"/>
      <c r="I36" s="67"/>
      <c r="J36" s="67">
        <f>SUBTOTAL(9,J38:J43)</f>
        <v>48096</v>
      </c>
      <c r="K36" s="83"/>
      <c r="L36" s="83"/>
      <c r="M36" s="86"/>
      <c r="N36" s="67"/>
      <c r="O36" s="67">
        <f>SUBTOTAL(9,O38:O43)</f>
        <v>23516.880000000001</v>
      </c>
      <c r="P36" s="89"/>
      <c r="Q36" s="93"/>
      <c r="R36" s="93"/>
      <c r="S36" s="97"/>
      <c r="T36" s="97"/>
      <c r="U36" s="101"/>
      <c r="V36" s="105"/>
      <c r="W36" s="97"/>
      <c r="X36" s="109"/>
      <c r="Y36" s="111"/>
    </row>
    <row r="37" spans="1:25" ht="13.2" outlineLevel="2">
      <c r="A37" t="s">
        <v>274</v>
      </c>
      <c r="C37" s="32" t="s">
        <v>275</v>
      </c>
      <c r="D37" s="140" t="s">
        <v>82</v>
      </c>
      <c r="E37" s="140" t="s">
        <v>82</v>
      </c>
      <c r="F37" s="141"/>
      <c r="G37" s="76"/>
      <c r="H37" s="77"/>
      <c r="I37" s="39"/>
      <c r="J37" s="39">
        <f>SUBTOTAL(9,J38:J38)</f>
        <v>528</v>
      </c>
      <c r="K37" s="81"/>
      <c r="L37" s="81"/>
      <c r="M37" s="41"/>
      <c r="N37" s="39"/>
      <c r="O37" s="39">
        <f>SUBTOTAL(9,O38:O38)</f>
        <v>432.96</v>
      </c>
      <c r="P37" s="87"/>
      <c r="Q37" s="91"/>
      <c r="R37" s="91"/>
      <c r="S37" s="95"/>
      <c r="T37" s="95"/>
      <c r="U37" s="99"/>
      <c r="V37" s="103"/>
      <c r="W37" s="95"/>
      <c r="X37" s="107"/>
      <c r="Y37" s="111"/>
    </row>
    <row r="38" spans="1:25" ht="34.200000000000003" outlineLevel="3">
      <c r="A38" t="s">
        <v>276</v>
      </c>
      <c r="C38" s="33"/>
      <c r="D38" s="75" t="s">
        <v>83</v>
      </c>
      <c r="E38" s="52" t="s">
        <v>99</v>
      </c>
      <c r="F38" s="52" t="s">
        <v>111</v>
      </c>
      <c r="G38" s="65">
        <v>16</v>
      </c>
      <c r="H38" s="80">
        <f>G38*H11</f>
        <v>48</v>
      </c>
      <c r="I38" s="40">
        <v>11</v>
      </c>
      <c r="J38" s="40">
        <f>I38*H38</f>
        <v>528</v>
      </c>
      <c r="K38" s="84">
        <f>ROUND(Discount!F38,10)</f>
        <v>0.82</v>
      </c>
      <c r="L38" s="84">
        <f>1-ROUND(Discount!F38,10)</f>
        <v>0.18000000000000005</v>
      </c>
      <c r="M38" s="42">
        <f>POUTSOURINGHW1</f>
        <v>1</v>
      </c>
      <c r="N38" s="40">
        <f>ROUND(ROUND(ROUND(ROUND(I38*QF_SYS_EXCHANGE1,8)*ROUND(Discount!F38,10),8)*POUTSOURINGHW1,8),2)</f>
        <v>9.02</v>
      </c>
      <c r="O38" s="40">
        <f>N38*H38</f>
        <v>432.96</v>
      </c>
      <c r="P38" s="90" t="s">
        <v>31</v>
      </c>
      <c r="Q38" s="94" t="s">
        <v>121</v>
      </c>
      <c r="R38" s="94" t="s">
        <v>126</v>
      </c>
      <c r="S38" s="98">
        <v>0.27</v>
      </c>
      <c r="T38" s="98">
        <v>2.9999999999999997E-4</v>
      </c>
      <c r="U38" s="102" t="s">
        <v>131</v>
      </c>
      <c r="V38" s="106" t="s">
        <v>139</v>
      </c>
      <c r="W38" s="98"/>
      <c r="X38" s="110" t="s">
        <v>141</v>
      </c>
      <c r="Y38" s="111"/>
    </row>
    <row r="39" spans="1:25" ht="13.2" outlineLevel="2">
      <c r="A39" t="s">
        <v>277</v>
      </c>
      <c r="C39" s="32" t="s">
        <v>278</v>
      </c>
      <c r="D39" s="140" t="s">
        <v>84</v>
      </c>
      <c r="E39" s="140" t="s">
        <v>84</v>
      </c>
      <c r="F39" s="141"/>
      <c r="G39" s="76"/>
      <c r="H39" s="77"/>
      <c r="I39" s="39"/>
      <c r="J39" s="39">
        <f>SUBTOTAL(9,J40:J41)</f>
        <v>4536</v>
      </c>
      <c r="K39" s="81"/>
      <c r="L39" s="81"/>
      <c r="M39" s="41"/>
      <c r="N39" s="39"/>
      <c r="O39" s="39">
        <f>SUBTOTAL(9,O40:O41)</f>
        <v>3719.52</v>
      </c>
      <c r="P39" s="87"/>
      <c r="Q39" s="91"/>
      <c r="R39" s="91"/>
      <c r="S39" s="95"/>
      <c r="T39" s="95"/>
      <c r="U39" s="99"/>
      <c r="V39" s="103"/>
      <c r="W39" s="95"/>
      <c r="X39" s="107"/>
      <c r="Y39" s="111"/>
    </row>
    <row r="40" spans="1:25" ht="45.6" outlineLevel="3">
      <c r="A40" t="s">
        <v>279</v>
      </c>
      <c r="C40" s="33"/>
      <c r="D40" s="75" t="s">
        <v>85</v>
      </c>
      <c r="E40" s="52" t="s">
        <v>100</v>
      </c>
      <c r="F40" s="52" t="s">
        <v>112</v>
      </c>
      <c r="G40" s="65">
        <v>8</v>
      </c>
      <c r="H40" s="80">
        <f>G40*H11</f>
        <v>24</v>
      </c>
      <c r="I40" s="40">
        <v>45</v>
      </c>
      <c r="J40" s="40">
        <f>I40*H40</f>
        <v>1080</v>
      </c>
      <c r="K40" s="84">
        <f>ROUND(Discount!F38,10)</f>
        <v>0.82</v>
      </c>
      <c r="L40" s="84">
        <f>1-ROUND(Discount!F38,10)</f>
        <v>0.18000000000000005</v>
      </c>
      <c r="M40" s="42">
        <f>POUTSOURINGHW1</f>
        <v>1</v>
      </c>
      <c r="N40" s="40">
        <f>ROUND(ROUND(ROUND(ROUND(I40*QF_SYS_EXCHANGE1,8)*ROUND(Discount!F38,10),8)*POUTSOURINGHW1,8),2)</f>
        <v>36.9</v>
      </c>
      <c r="O40" s="40">
        <f>N40*H40</f>
        <v>885.59999999999991</v>
      </c>
      <c r="P40" s="90" t="s">
        <v>31</v>
      </c>
      <c r="Q40" s="94" t="s">
        <v>121</v>
      </c>
      <c r="R40" s="94" t="s">
        <v>126</v>
      </c>
      <c r="S40" s="98">
        <v>0.63</v>
      </c>
      <c r="T40" s="98">
        <v>1.61E-2</v>
      </c>
      <c r="U40" s="102" t="s">
        <v>132</v>
      </c>
      <c r="V40" s="106" t="s">
        <v>139</v>
      </c>
      <c r="W40" s="98"/>
      <c r="X40" s="110" t="s">
        <v>141</v>
      </c>
      <c r="Y40" s="111"/>
    </row>
    <row r="41" spans="1:25" ht="45.6" outlineLevel="3">
      <c r="A41" t="s">
        <v>280</v>
      </c>
      <c r="C41" s="33"/>
      <c r="D41" s="75" t="s">
        <v>86</v>
      </c>
      <c r="E41" s="52" t="s">
        <v>101</v>
      </c>
      <c r="F41" s="52" t="s">
        <v>113</v>
      </c>
      <c r="G41" s="65">
        <v>8</v>
      </c>
      <c r="H41" s="80">
        <f>G41*H11</f>
        <v>24</v>
      </c>
      <c r="I41" s="40">
        <v>144</v>
      </c>
      <c r="J41" s="40">
        <f>I41*H41</f>
        <v>3456</v>
      </c>
      <c r="K41" s="84">
        <f>ROUND(Discount!F38,10)</f>
        <v>0.82</v>
      </c>
      <c r="L41" s="84">
        <f>1-ROUND(Discount!F38,10)</f>
        <v>0.18000000000000005</v>
      </c>
      <c r="M41" s="42">
        <f>POUTSOURINGHW1</f>
        <v>1</v>
      </c>
      <c r="N41" s="40">
        <f>ROUND(ROUND(ROUND(ROUND(I41*QF_SYS_EXCHANGE1,8)*ROUND(Discount!F38,10),8)*POUTSOURINGHW1,8),2)</f>
        <v>118.08</v>
      </c>
      <c r="O41" s="40">
        <f>N41*H41</f>
        <v>2833.92</v>
      </c>
      <c r="P41" s="90" t="s">
        <v>31</v>
      </c>
      <c r="Q41" s="94" t="s">
        <v>121</v>
      </c>
      <c r="R41" s="94" t="s">
        <v>126</v>
      </c>
      <c r="S41" s="98">
        <v>0.63</v>
      </c>
      <c r="T41" s="98">
        <v>1.61E-2</v>
      </c>
      <c r="U41" s="102" t="s">
        <v>132</v>
      </c>
      <c r="V41" s="106" t="s">
        <v>139</v>
      </c>
      <c r="W41" s="98"/>
      <c r="X41" s="110" t="s">
        <v>141</v>
      </c>
      <c r="Y41" s="111"/>
    </row>
    <row r="42" spans="1:25" ht="13.2" outlineLevel="2">
      <c r="A42" t="s">
        <v>281</v>
      </c>
      <c r="C42" s="32" t="s">
        <v>282</v>
      </c>
      <c r="D42" s="140" t="s">
        <v>87</v>
      </c>
      <c r="E42" s="140" t="s">
        <v>87</v>
      </c>
      <c r="F42" s="141"/>
      <c r="G42" s="76"/>
      <c r="H42" s="77"/>
      <c r="I42" s="39"/>
      <c r="J42" s="39">
        <f>SUBTOTAL(9,J43:J43)</f>
        <v>43032</v>
      </c>
      <c r="K42" s="81"/>
      <c r="L42" s="81"/>
      <c r="M42" s="41"/>
      <c r="N42" s="39"/>
      <c r="O42" s="39">
        <f>SUBTOTAL(9,O43:O43)</f>
        <v>19364.400000000001</v>
      </c>
      <c r="P42" s="87"/>
      <c r="Q42" s="91"/>
      <c r="R42" s="91"/>
      <c r="S42" s="95"/>
      <c r="T42" s="95"/>
      <c r="U42" s="99"/>
      <c r="V42" s="103"/>
      <c r="W42" s="95"/>
      <c r="X42" s="107"/>
      <c r="Y42" s="111"/>
    </row>
    <row r="43" spans="1:25" ht="34.200000000000003" outlineLevel="3">
      <c r="A43" t="s">
        <v>283</v>
      </c>
      <c r="C43" s="33"/>
      <c r="D43" s="75" t="s">
        <v>88</v>
      </c>
      <c r="E43" s="52" t="s">
        <v>102</v>
      </c>
      <c r="F43" s="52" t="s">
        <v>114</v>
      </c>
      <c r="G43" s="65">
        <v>8</v>
      </c>
      <c r="H43" s="80">
        <f>G43*H11</f>
        <v>24</v>
      </c>
      <c r="I43" s="40">
        <v>1793</v>
      </c>
      <c r="J43" s="40">
        <f>I43*H43</f>
        <v>43032</v>
      </c>
      <c r="K43" s="84">
        <f>ROUND(Discount!F39,10)</f>
        <v>0.45</v>
      </c>
      <c r="L43" s="84">
        <f>1-ROUND(Discount!F39,10)</f>
        <v>0.55000000000000004</v>
      </c>
      <c r="M43" s="42">
        <f>PHUAWEIHW1</f>
        <v>1</v>
      </c>
      <c r="N43" s="40">
        <f>ROUND(ROUND(ROUND(ROUND(I43*QF_SYS_EXCHANGE1,8)*ROUND(Discount!F39,10),8)*PHUAWEIHW1,8),2)</f>
        <v>806.85</v>
      </c>
      <c r="O43" s="40">
        <f>N43*H43</f>
        <v>19364.400000000001</v>
      </c>
      <c r="P43" s="90" t="s">
        <v>32</v>
      </c>
      <c r="Q43" s="94" t="s">
        <v>122</v>
      </c>
      <c r="R43" s="94" t="s">
        <v>127</v>
      </c>
      <c r="S43" s="98">
        <v>0.39600000000000002</v>
      </c>
      <c r="T43" s="98">
        <v>7.6499999999999997E-3</v>
      </c>
      <c r="U43" s="102" t="s">
        <v>133</v>
      </c>
      <c r="V43" s="106" t="s">
        <v>140</v>
      </c>
      <c r="W43" s="98"/>
      <c r="X43" s="110" t="s">
        <v>142</v>
      </c>
      <c r="Y43" s="111"/>
    </row>
    <row r="44" spans="1:25" ht="13.2" outlineLevel="1">
      <c r="A44" t="s">
        <v>284</v>
      </c>
      <c r="C44" s="61" t="s">
        <v>285</v>
      </c>
      <c r="D44" s="144" t="s">
        <v>89</v>
      </c>
      <c r="E44" s="144" t="s">
        <v>89</v>
      </c>
      <c r="F44" s="145"/>
      <c r="G44" s="64"/>
      <c r="H44" s="79"/>
      <c r="I44" s="67"/>
      <c r="J44" s="67">
        <f>SUBTOTAL(9,J45:J45)</f>
        <v>161400</v>
      </c>
      <c r="K44" s="83"/>
      <c r="L44" s="83"/>
      <c r="M44" s="86"/>
      <c r="N44" s="67"/>
      <c r="O44" s="67">
        <f>SUBTOTAL(9,O45:O45)</f>
        <v>32280</v>
      </c>
      <c r="P44" s="89"/>
      <c r="Q44" s="93"/>
      <c r="R44" s="93"/>
      <c r="S44" s="97"/>
      <c r="T44" s="97"/>
      <c r="U44" s="101"/>
      <c r="V44" s="105"/>
      <c r="W44" s="97"/>
      <c r="X44" s="109"/>
      <c r="Y44" s="111"/>
    </row>
    <row r="45" spans="1:25" ht="57" outlineLevel="2">
      <c r="A45" t="s">
        <v>286</v>
      </c>
      <c r="C45" s="33"/>
      <c r="D45" s="75" t="s">
        <v>90</v>
      </c>
      <c r="E45" s="52" t="s">
        <v>103</v>
      </c>
      <c r="F45" s="52" t="s">
        <v>115</v>
      </c>
      <c r="G45" s="65">
        <v>1</v>
      </c>
      <c r="H45" s="80">
        <f>G45*H11</f>
        <v>3</v>
      </c>
      <c r="I45" s="40">
        <v>53800</v>
      </c>
      <c r="J45" s="40">
        <f>I45*H45</f>
        <v>161400</v>
      </c>
      <c r="K45" s="84">
        <f>ROUND(Discount!F37,10)</f>
        <v>0.2</v>
      </c>
      <c r="L45" s="84">
        <f>1-ROUND(Discount!F37,10)</f>
        <v>0.8</v>
      </c>
      <c r="M45" s="42">
        <f>PHUAWEISW1</f>
        <v>1</v>
      </c>
      <c r="N45" s="40">
        <f>ROUND(ROUND(ROUND(ROUND(I45*QF_SYS_EXCHANGE1,8)*ROUND(Discount!F37,10),8)*PHUAWEISW1,8),2)</f>
        <v>10760</v>
      </c>
      <c r="O45" s="40">
        <f>N45*H45</f>
        <v>32280</v>
      </c>
      <c r="P45" s="90" t="s">
        <v>30</v>
      </c>
      <c r="Q45" s="94" t="s">
        <v>123</v>
      </c>
      <c r="R45" s="94" t="s">
        <v>123</v>
      </c>
      <c r="S45" s="98"/>
      <c r="T45" s="98"/>
      <c r="U45" s="102"/>
      <c r="V45" s="106" t="s">
        <v>139</v>
      </c>
      <c r="W45" s="98"/>
      <c r="X45" s="110" t="s">
        <v>141</v>
      </c>
      <c r="Y45" s="111"/>
    </row>
    <row r="46" spans="1:25" ht="13.2" outlineLevel="1">
      <c r="A46" t="s">
        <v>287</v>
      </c>
      <c r="C46" s="61" t="s">
        <v>288</v>
      </c>
      <c r="D46" s="144" t="s">
        <v>91</v>
      </c>
      <c r="E46" s="144" t="s">
        <v>91</v>
      </c>
      <c r="F46" s="145"/>
      <c r="G46" s="64"/>
      <c r="H46" s="79"/>
      <c r="I46" s="67"/>
      <c r="J46" s="67">
        <f>SUBTOTAL(9,J47:J47)</f>
        <v>33894</v>
      </c>
      <c r="K46" s="83"/>
      <c r="L46" s="83"/>
      <c r="M46" s="86"/>
      <c r="N46" s="67"/>
      <c r="O46" s="67">
        <f>SUBTOTAL(9,O47:O47)</f>
        <v>23725.800000000003</v>
      </c>
      <c r="P46" s="89"/>
      <c r="Q46" s="93"/>
      <c r="R46" s="93"/>
      <c r="S46" s="97"/>
      <c r="T46" s="97"/>
      <c r="U46" s="101"/>
      <c r="V46" s="105"/>
      <c r="W46" s="97"/>
      <c r="X46" s="109"/>
      <c r="Y46" s="111"/>
    </row>
    <row r="47" spans="1:25" ht="79.8" outlineLevel="2">
      <c r="A47" t="s">
        <v>289</v>
      </c>
      <c r="C47" s="44"/>
      <c r="D47" s="112" t="s">
        <v>92</v>
      </c>
      <c r="E47" s="113" t="s">
        <v>104</v>
      </c>
      <c r="F47" s="113" t="s">
        <v>116</v>
      </c>
      <c r="G47" s="114">
        <v>1</v>
      </c>
      <c r="H47" s="115">
        <f>G47*H11</f>
        <v>3</v>
      </c>
      <c r="I47" s="48">
        <v>11298</v>
      </c>
      <c r="J47" s="48">
        <f>I47*H47</f>
        <v>33894</v>
      </c>
      <c r="K47" s="116">
        <f>ROUND(Discount!F40,10)</f>
        <v>0.7</v>
      </c>
      <c r="L47" s="116">
        <f>1-ROUND(Discount!F40,10)</f>
        <v>0.30000000000000004</v>
      </c>
      <c r="M47" s="49">
        <f>PHUAWEISERVICE1</f>
        <v>1</v>
      </c>
      <c r="N47" s="48">
        <f>ROUND(ROUND(ROUND(ROUND(I47*QF_SYS_EXCHANGE1,8)*ROUND(Discount!F40,10),8)*PHUAWEISERVICE1,8),2)</f>
        <v>7908.6</v>
      </c>
      <c r="O47" s="48">
        <f>N47*H47</f>
        <v>23725.800000000003</v>
      </c>
      <c r="P47" s="117" t="s">
        <v>33</v>
      </c>
      <c r="Q47" s="118"/>
      <c r="R47" s="118"/>
      <c r="S47" s="119"/>
      <c r="T47" s="119"/>
      <c r="U47" s="120"/>
      <c r="V47" s="121"/>
      <c r="W47" s="119"/>
      <c r="X47" s="122" t="s">
        <v>290</v>
      </c>
      <c r="Y47" s="111"/>
    </row>
    <row r="48" spans="1:25" ht="13.2"/>
  </sheetData>
  <mergeCells count="20">
    <mergeCell ref="D37:F37"/>
    <mergeCell ref="D39:F39"/>
    <mergeCell ref="D42:F42"/>
    <mergeCell ref="D44:F44"/>
    <mergeCell ref="D46:F46"/>
    <mergeCell ref="D27:F27"/>
    <mergeCell ref="D29:F29"/>
    <mergeCell ref="D30:F30"/>
    <mergeCell ref="D33:F33"/>
    <mergeCell ref="D36:F36"/>
    <mergeCell ref="D16:F16"/>
    <mergeCell ref="D19:F19"/>
    <mergeCell ref="D21:F21"/>
    <mergeCell ref="D22:F22"/>
    <mergeCell ref="D24:F24"/>
    <mergeCell ref="D10:F10"/>
    <mergeCell ref="D11:F11"/>
    <mergeCell ref="D12:F12"/>
    <mergeCell ref="D13:F13"/>
    <mergeCell ref="D14:F14"/>
  </mergeCells>
  <pageMargins left="0.51181102362204722" right="0.51181102362204722" top="0.51181102362204722" bottom="0.47244094488188981" header="7.874015748031496E-2" footer="0.19685039370078741"/>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56</vt:i4>
      </vt:variant>
    </vt:vector>
  </HeadingPairs>
  <TitlesOfParts>
    <vt:vector size="63" baseType="lpstr">
      <vt:lpstr>Cover</vt:lpstr>
      <vt:lpstr>Disclaimer</vt:lpstr>
      <vt:lpstr>Basic Information</vt:lpstr>
      <vt:lpstr>Discount</vt:lpstr>
      <vt:lpstr>Summary</vt:lpstr>
      <vt:lpstr>Statistics</vt:lpstr>
      <vt:lpstr>AllInOne</vt:lpstr>
      <vt:lpstr>Cover!AGENTID</vt:lpstr>
      <vt:lpstr>'Basic Information'!bAuthPriceName</vt:lpstr>
      <vt:lpstr>'Basic Information'!bContractNo</vt:lpstr>
      <vt:lpstr>'Basic Information'!bCountry</vt:lpstr>
      <vt:lpstr>'Basic Information'!bCountryName</vt:lpstr>
      <vt:lpstr>Cover!BOQ_FLAG</vt:lpstr>
      <vt:lpstr>'Basic Information'!bPartnerName</vt:lpstr>
      <vt:lpstr>'Basic Information'!bPoNo</vt:lpstr>
      <vt:lpstr>'Basic Information'!bPriceBookName</vt:lpstr>
      <vt:lpstr>'Basic Information'!bPriceId</vt:lpstr>
      <vt:lpstr>'Basic Information'!bProposalNo</vt:lpstr>
      <vt:lpstr>'Basic Information'!bQuotationType</vt:lpstr>
      <vt:lpstr>'Basic Information'!bUserId</vt:lpstr>
      <vt:lpstr>AllInOne!CFGAREA</vt:lpstr>
      <vt:lpstr>Discount!CFGAREA</vt:lpstr>
      <vt:lpstr>Statistics!CFGAREA</vt:lpstr>
      <vt:lpstr>Summary!CFGAREA</vt:lpstr>
      <vt:lpstr>Discount!CFGAREA1</vt:lpstr>
      <vt:lpstr>Discount!CFGAREA2</vt:lpstr>
      <vt:lpstr>Cover!COMPANYNAME</vt:lpstr>
      <vt:lpstr>Cover!CREATE_DATE</vt:lpstr>
      <vt:lpstr>PHUAWEIHSW1</vt:lpstr>
      <vt:lpstr>PHUAWEIHW1</vt:lpstr>
      <vt:lpstr>PHUAWEISERVICE1</vt:lpstr>
      <vt:lpstr>PHUAWEISW1</vt:lpstr>
      <vt:lpstr>PLOCALOUTSOURCING1</vt:lpstr>
      <vt:lpstr>PLOCALSERVICE1</vt:lpstr>
      <vt:lpstr>PLSSERVICE1</vt:lpstr>
      <vt:lpstr>POUTSOURINGHW1</vt:lpstr>
      <vt:lpstr>POUTSOURINGSW1</vt:lpstr>
      <vt:lpstr>Cover!PRICEID</vt:lpstr>
      <vt:lpstr>Discount!ProductDiscount</vt:lpstr>
      <vt:lpstr>Cover!PROJECTCODE</vt:lpstr>
      <vt:lpstr>Cover!PROJECTNAME</vt:lpstr>
      <vt:lpstr>PVIRTUALTRADECATEGORY1</vt:lpstr>
      <vt:lpstr>QF_SYS_CURRENCY1</vt:lpstr>
      <vt:lpstr>QF_SYS_DESTINATION1</vt:lpstr>
      <vt:lpstr>QF_SYS_EXCHANGE1</vt:lpstr>
      <vt:lpstr>QF_SYS_LISTPRICECURRENCY</vt:lpstr>
      <vt:lpstr>QF_SYS_TRADETERMDESC1</vt:lpstr>
      <vt:lpstr>Cover!QUOTATIONBY</vt:lpstr>
      <vt:lpstr>Cover!QUOTATIONNO</vt:lpstr>
      <vt:lpstr>QuoteType</vt:lpstr>
      <vt:lpstr>Statistics!statistics</vt:lpstr>
      <vt:lpstr>Discount!TradeCoefficient</vt:lpstr>
      <vt:lpstr>Discount!TradeTerm</vt:lpstr>
      <vt:lpstr>Cover!USERID</vt:lpstr>
      <vt:lpstr>'Basic Information'!VALID_AREA</vt:lpstr>
      <vt:lpstr>Cover!VALID_AREA</vt:lpstr>
      <vt:lpstr>Disclaimer!VALID_AREA</vt:lpstr>
      <vt:lpstr>AllInOne!Заголовки_для_печати</vt:lpstr>
      <vt:lpstr>Summary!Заголовки_для_печати</vt:lpstr>
      <vt:lpstr>AllInOne!Область_печати</vt:lpstr>
      <vt:lpstr>Cover!Область_печати</vt:lpstr>
      <vt:lpstr>Disclaimer!Область_печати</vt:lpstr>
      <vt:lpstr>Summary!Область_печати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2024-10-30T14:57:56Z</dcterms:modified>
</cp:coreProperties>
</file>